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wnloads\"/>
    </mc:Choice>
  </mc:AlternateContent>
  <xr:revisionPtr revIDLastSave="0" documentId="13_ncr:1_{B1CBA872-F1D7-4836-8CAA-50567416E11A}" xr6:coauthVersionLast="47" xr6:coauthVersionMax="47" xr10:uidLastSave="{00000000-0000-0000-0000-000000000000}"/>
  <bookViews>
    <workbookView xWindow="13635" yWindow="1980" windowWidth="21885" windowHeight="20355" xr2:uid="{00000000-000D-0000-FFFF-FFFF00000000}"/>
  </bookViews>
  <sheets>
    <sheet name="report generated at 0722pm on 2" sheetId="1" r:id="rId1"/>
  </sheets>
  <calcPr calcId="191029"/>
</workbook>
</file>

<file path=xl/calcChain.xml><?xml version="1.0" encoding="utf-8"?>
<calcChain xmlns="http://schemas.openxmlformats.org/spreadsheetml/2006/main">
  <c r="B2003" i="1" l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A1457" i="1"/>
  <c r="B1456" i="1"/>
  <c r="A1456" i="1"/>
  <c r="B1455" i="1"/>
  <c r="A1455" i="1"/>
  <c r="B1454" i="1"/>
  <c r="A1454" i="1"/>
  <c r="B1453" i="1"/>
  <c r="A1453" i="1"/>
  <c r="A1452" i="1"/>
  <c r="A1451" i="1"/>
  <c r="B1450" i="1"/>
  <c r="A1450" i="1"/>
  <c r="B1449" i="1"/>
  <c r="A1449" i="1"/>
  <c r="A1448" i="1"/>
  <c r="A1447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<sst xmlns="http://schemas.openxmlformats.org/spreadsheetml/2006/main" count="15275" uniqueCount="1765">
  <si>
    <t>Active Listings</t>
  </si>
  <si>
    <t>Address</t>
  </si>
  <si>
    <t>Building Name</t>
  </si>
  <si>
    <t>Neighborhood</t>
  </si>
  <si>
    <t>City</t>
  </si>
  <si>
    <t>Price (Last Known)</t>
  </si>
  <si>
    <t>PPSF</t>
  </si>
  <si>
    <t>R</t>
  </si>
  <si>
    <t>Bd</t>
  </si>
  <si>
    <t>Total Ba</t>
  </si>
  <si>
    <t>MLS Ba</t>
  </si>
  <si>
    <t>Full Ba</t>
  </si>
  <si>
    <t>HBa</t>
  </si>
  <si>
    <t>Sq Ft</t>
  </si>
  <si>
    <t>Monthly Fees</t>
  </si>
  <si>
    <t>Monthly Fees &amp; Taxes</t>
  </si>
  <si>
    <t>Taxes Per Mo.</t>
  </si>
  <si>
    <t>MLS Property Type</t>
  </si>
  <si>
    <t>MLS Property Subtype</t>
  </si>
  <si>
    <t>Compass Property Type</t>
  </si>
  <si>
    <t>Status</t>
  </si>
  <si>
    <t>DOM</t>
  </si>
  <si>
    <t>Updated Date</t>
  </si>
  <si>
    <t>Listed Date</t>
  </si>
  <si>
    <t>Listed Price</t>
  </si>
  <si>
    <t>Last Asking</t>
  </si>
  <si>
    <t>Contract Date</t>
  </si>
  <si>
    <t>Sold Price</t>
  </si>
  <si>
    <t>Closed Price Verification</t>
  </si>
  <si>
    <t>Sold Date</t>
  </si>
  <si>
    <t>Open House</t>
  </si>
  <si>
    <t>Open House Type</t>
  </si>
  <si>
    <t>ZIP</t>
  </si>
  <si>
    <t>Building Size</t>
  </si>
  <si>
    <t>Lot Size</t>
  </si>
  <si>
    <t>Outdoor Space</t>
  </si>
  <si>
    <t>Year Built</t>
  </si>
  <si>
    <t>Service Level</t>
  </si>
  <si>
    <t>Building Units</t>
  </si>
  <si>
    <t>Notes</t>
  </si>
  <si>
    <t>West Village</t>
  </si>
  <si>
    <t>Manhattan</t>
  </si>
  <si>
    <t>Condo</t>
  </si>
  <si>
    <t>Active</t>
  </si>
  <si>
    <t>Unknown</t>
  </si>
  <si>
    <t>Common Garden
Common Outdoor Space</t>
  </si>
  <si>
    <t>Doorman, Full-Time Doorman, Concierge</t>
  </si>
  <si>
    <t>Aug 21, 11:30am - 12:30pm - By Appt</t>
  </si>
  <si>
    <t>Public</t>
  </si>
  <si>
    <t>Full-Time Doorman, Concierge</t>
  </si>
  <si>
    <t>SoHo</t>
  </si>
  <si>
    <t>Roof Deck
Common Roof Deck
Common Outdoor Space</t>
  </si>
  <si>
    <t>East Village</t>
  </si>
  <si>
    <t>Roof Deck
Common Roof Deck
Common Garden
Common Outdoor Space</t>
  </si>
  <si>
    <t>Gramercy</t>
  </si>
  <si>
    <t>Roof Deck
Common Roof Deck</t>
  </si>
  <si>
    <t>Flatiron</t>
  </si>
  <si>
    <t>Aug 22, 1:30pm - 2:30pm - By Appt</t>
  </si>
  <si>
    <t>Private Terrace
Private Roof Deck
Roof Deck
Common Garden
Common Outdoor Space</t>
  </si>
  <si>
    <t>Part-Time Doorman</t>
  </si>
  <si>
    <t>Harlem</t>
  </si>
  <si>
    <t>Aug 19, 3:00pm - 5:00pm - By Appt
Aug 21, 12:00pm - 1:00pm - By Appt
Aug 22, 11:00am - 1:00pm - By Appt</t>
  </si>
  <si>
    <t>Public
Public
Public</t>
  </si>
  <si>
    <t>Private Wrap Around Terrace
Common Roof Deck</t>
  </si>
  <si>
    <t>Doorman, Part-Time Doorman</t>
  </si>
  <si>
    <t>TriBeCa</t>
  </si>
  <si>
    <t>Common Outdoor Space</t>
  </si>
  <si>
    <t>Hell's Kitchen</t>
  </si>
  <si>
    <t>Aug 22, 2:00pm - 3:00pm - By Appt</t>
  </si>
  <si>
    <t>Doorman, Full-Time Doorman, Part-Time Doorman</t>
  </si>
  <si>
    <t>Aug 22, 12:00pm - 1:30pm - By Appt</t>
  </si>
  <si>
    <t>Roof Deck
Common Roof Deck
Common Garden
Common Outdoor Space
Private Outdoor Space</t>
  </si>
  <si>
    <t>Hudson Square</t>
  </si>
  <si>
    <t>Chelsea</t>
  </si>
  <si>
    <t>Aug 19, 12:00pm - 3:00pm - By Appt</t>
  </si>
  <si>
    <t>Private Terrace
Common Outdoor Space
Private Outdoor Space</t>
  </si>
  <si>
    <t>Concierge</t>
  </si>
  <si>
    <t>Civic Center</t>
  </si>
  <si>
    <t>Upper West Side</t>
  </si>
  <si>
    <t>Roof Deck
Common Roof Deck
Barbecue Area
Common Outdoor Space
Private Outdoor Space</t>
  </si>
  <si>
    <t>Common Garden
Common Outdoor Space
Private Outdoor Space</t>
  </si>
  <si>
    <t>Roof Deck
Common Garden
Common Outdoor Space</t>
  </si>
  <si>
    <t>Hamilton Heights</t>
  </si>
  <si>
    <t>Aug 22, 12:00pm - 1:00pm - By Appt</t>
  </si>
  <si>
    <t>Aug 22, 11:00am - 12:30pm - By Appt</t>
  </si>
  <si>
    <t>Roof Deck
Common Roof Deck
Common Outdoor Space
Private Outdoor Space</t>
  </si>
  <si>
    <t>Doorman, Full-Time Doorman</t>
  </si>
  <si>
    <t>Deck
Roof Deck
Common Roof Deck</t>
  </si>
  <si>
    <t>Private Terrace
Roof Deck
Common Roof Deck
Common Garden
Common Outdoor Space
Private Outdoor Space</t>
  </si>
  <si>
    <t>Aug 19, 11:00pm - 1:00pm - By Appt
Aug 21, 1:00pm - 3:00pm - By Appt</t>
  </si>
  <si>
    <t>Public
Public</t>
  </si>
  <si>
    <t>Private Terrace
Deck
Roof Deck
Common Roof Deck
Common Outdoor Space</t>
  </si>
  <si>
    <t>Common Outdoor Space
Private Outdoor Space</t>
  </si>
  <si>
    <t>Kips Bay</t>
  </si>
  <si>
    <t>Studio</t>
  </si>
  <si>
    <t>Morningside Heights</t>
  </si>
  <si>
    <t>Common Roof Deck
Common Garden
Common Outdoor Space</t>
  </si>
  <si>
    <t>NoLita</t>
  </si>
  <si>
    <t>Upper East Side</t>
  </si>
  <si>
    <t>Full-Time Doorman</t>
  </si>
  <si>
    <t>Balcony
Common Outdoor Space
Private Outdoor Space</t>
  </si>
  <si>
    <t>Private Terrace
Roof Deck
Common Roof Deck
Common Outdoor Space
Private Outdoor Space</t>
  </si>
  <si>
    <t>Aug 21, 11:00am - 1:00pm</t>
  </si>
  <si>
    <t>Private Terrace
Private Roof Deck
Common Outdoor Space
Private Outdoor Space</t>
  </si>
  <si>
    <t>Condop</t>
  </si>
  <si>
    <t>Common Roof Deck
Private Outdoor Space</t>
  </si>
  <si>
    <t>Balcony
Private Terrace
Common Outdoor Space
Private Outdoor Space</t>
  </si>
  <si>
    <t>Common Roof Deck</t>
  </si>
  <si>
    <t>NoMad</t>
  </si>
  <si>
    <t>Condop/Condo</t>
  </si>
  <si>
    <t>Balcony
Common Roof Deck
Private Outdoor Space</t>
  </si>
  <si>
    <t>Balcony
Private Terrace
Common Roof Deck
Private Outdoor Space</t>
  </si>
  <si>
    <t>Aug 21, 11:30am - 1:00pm</t>
  </si>
  <si>
    <t>Deck
Roof Deck
Common Roof Deck
Common Outdoor Space</t>
  </si>
  <si>
    <t>Condominium/Condo</t>
  </si>
  <si>
    <t>Private Terrace
Private Outdoor Space</t>
  </si>
  <si>
    <t>Roosevelt Island</t>
  </si>
  <si>
    <t>Co-op</t>
  </si>
  <si>
    <t>Aug 22, 1:30pm - 2:30pm</t>
  </si>
  <si>
    <t>Playground
Common Outdoor Space</t>
  </si>
  <si>
    <t>Private Terrace
Common Roof Deck
Common Garden
Common Outdoor Space
Private Outdoor Space</t>
  </si>
  <si>
    <t>Full-Time Doorman, Part-Time Doorman</t>
  </si>
  <si>
    <t>Hudson Heights</t>
  </si>
  <si>
    <t>Aug 22, 11:00am - 1:00pm - By Appt</t>
  </si>
  <si>
    <t>Doorman, Full-Time Doorman, Remote Doorman</t>
  </si>
  <si>
    <t>Balcony
Roof Deck
Common Roof Deck
Private Outdoor Space</t>
  </si>
  <si>
    <t>Manhattanville</t>
  </si>
  <si>
    <t>Aug 21, 11:00am - 1:00pm - By Appt
Aug 22, 11:00am - 1:00pm - By Appt</t>
  </si>
  <si>
    <t>Balcony
Common Roof Deck
Common Garden
Common Outdoor Space</t>
  </si>
  <si>
    <t>Common Roof Deck
Common Garden
Common Outdoor Space
Private Outdoor Space</t>
  </si>
  <si>
    <t>Private Wrap Around Terrace
Common Roof Deck
Common Garden
Common Outdoor Space
Private Outdoor Space</t>
  </si>
  <si>
    <t>Private Terrace
Patio
Common Roof Deck
Common Garden
Common Outdoor Space</t>
  </si>
  <si>
    <t>Private Terrace
Private Wrap Around Terrace
Common Roof Deck
Common Garden
Common Outdoor Space
Private Outdoor Space</t>
  </si>
  <si>
    <t>Lower East Side</t>
  </si>
  <si>
    <t>Balcony
Common Roof Deck
Common Outdoor Space
Private Outdoor Space</t>
  </si>
  <si>
    <t>Balcony
Private Terrace
Common Roof Deck
Common Outdoor Space
Private Outdoor Space</t>
  </si>
  <si>
    <t>Condo/Other</t>
  </si>
  <si>
    <t>Contract Listings</t>
  </si>
  <si>
    <t>Contract Signed</t>
  </si>
  <si>
    <t>Balcony</t>
  </si>
  <si>
    <t>Remote Doorman</t>
  </si>
  <si>
    <t>Central Harlem</t>
  </si>
  <si>
    <t>Private Terrace
Common Roof Deck</t>
  </si>
  <si>
    <t>Roof Deck
Common Roof Deck
Barbecue Area
Common Outdoor Space</t>
  </si>
  <si>
    <t>NoHo</t>
  </si>
  <si>
    <t>Deck
Common Roof Deck</t>
  </si>
  <si>
    <t>Private Terrace
Common Outdoor Space</t>
  </si>
  <si>
    <t>Private Outdoor Space</t>
  </si>
  <si>
    <t>Private Roof Deck
Roof Deck
Common Roof Deck
Common Outdoor Space
Private Outdoor Space</t>
  </si>
  <si>
    <t>Balcony
Private Terrace
Private Roof Deck
Common Roof Deck
Common Outdoor Space
Private Outdoor Space</t>
  </si>
  <si>
    <t>Roof Deck
Common Roof Deck
Common Outdoor Space
Private Outdoor Space
Back Yard</t>
  </si>
  <si>
    <t>Private Terrace
Common Roof Deck
Common Garden
Common Outdoor Space</t>
  </si>
  <si>
    <t>Sold Listings</t>
  </si>
  <si>
    <t>Sold</t>
  </si>
  <si>
    <t>&lt;a href="http://a836-acris.nyc.gov/DS/DocumentSearch/DocumentDetail?doc_id=2018062600042001" target="_blank"&gt;Verified by Public Record&lt;/a&gt;</t>
  </si>
  <si>
    <t>Juliet Balcony
Common Garden
Common Outdoor Space</t>
  </si>
  <si>
    <t>&lt;a href="http://a836-acris.nyc.gov/DS/DocumentSearch/DocumentDetail?doc_id=2021061100359001" target="_blank"&gt;Verified by Public Record&lt;/a&gt;</t>
  </si>
  <si>
    <t>&lt;a href="http://a836-acris.nyc.gov/DS/DocumentSearch/DocumentDetail?doc_id=2020060300251001" target="_blank"&gt;Verified by Public Record&lt;/a&gt;</t>
  </si>
  <si>
    <t>Private Terrace
Common Garden
Common Outdoor Space</t>
  </si>
  <si>
    <t>Greenwich Village</t>
  </si>
  <si>
    <t>&lt;a href="http://a836-acris.nyc.gov/DS/DocumentSearch/DocumentDetail?doc_id=2019061000280001" target="_blank"&gt;Verified by Public Record&lt;/a&gt;</t>
  </si>
  <si>
    <t>Private Patio
Private Yard
Common Garden
Common Outdoor Space</t>
  </si>
  <si>
    <t>&lt;a href="http://a836-acris.nyc.gov/DS/DocumentSearch/DocumentDetail?doc_id=2021072001127001" target="_blank"&gt;Verified by Public Record&lt;/a&gt;</t>
  </si>
  <si>
    <t>Private Terrace</t>
  </si>
  <si>
    <t>&lt;a href="http://a836-acris.nyc.gov/DS/DocumentSearch/DocumentDetail?doc_id=2021060100267001" target="_blank"&gt;Verified by Public Record&lt;/a&gt;</t>
  </si>
  <si>
    <t>Balcony
Juliet Balcony
Private Wrap Around Terrace
Private Roof Deck</t>
  </si>
  <si>
    <t>&lt;a href="http://a836-acris.nyc.gov/DS/DocumentSearch/DocumentDetail?doc_id=2020042800456002" target="_blank"&gt;Verified by Public Record&lt;/a&gt;</t>
  </si>
  <si>
    <t>&lt;a href="http://a836-acris.nyc.gov/DS/DocumentSearch/DocumentDetail?doc_id=2018121100378001" target="_blank"&gt;Verified by Public Record&lt;/a&gt;</t>
  </si>
  <si>
    <t>&lt;a href="http://a836-acris.nyc.gov/DS/DocumentSearch/DocumentDetail?doc_id=2019092400955001" target="_blank"&gt;Verified by Public Record&lt;/a&gt;</t>
  </si>
  <si>
    <t>&lt;a href="http://a836-acris.nyc.gov/DS/DocumentSearch/DocumentDetail?doc_id=2018030500878005" target="_blank"&gt;Verified by Public Record&lt;/a&gt;</t>
  </si>
  <si>
    <t>&lt;a href="http://a836-acris.nyc.gov/DS/DocumentSearch/DocumentDetail?doc_id=2017050800932001" target="_blank"&gt;Verified by Public Record&lt;/a&gt;</t>
  </si>
  <si>
    <t>Verified by Compass</t>
  </si>
  <si>
    <t>&lt;a href="http://a836-acris.nyc.gov/DS/DocumentSearch/DocumentDetail?doc_id=2018042400933001" target="_blank"&gt;Verified by Public Record&lt;/a&gt;</t>
  </si>
  <si>
    <t>Private Terrace
Private Roof Deck
Roof Deck
Common Roof Deck</t>
  </si>
  <si>
    <t>&lt;a href="http://a836-acris.nyc.gov/DS/DocumentSearch/DocumentDetail?doc_id=2016040700932001" target="_blank"&gt;Verified by Public Record&lt;/a&gt;</t>
  </si>
  <si>
    <t>Part-Time Doorman, Remote Doorman</t>
  </si>
  <si>
    <t>&lt;a href="http://a836-acris.nyc.gov/DS/DocumentSearch/DocumentDetail?doc_id=2021032600917001" target="_blank"&gt;Verified by Public Record&lt;/a&gt;</t>
  </si>
  <si>
    <t>Unverified</t>
  </si>
  <si>
    <t>Balcony
Private Terrace
Private Roof Deck
Deck
Common Roof Deck
Common Outdoor Space</t>
  </si>
  <si>
    <t>&lt;a href="http://a836-acris.nyc.gov/DS/DocumentSearch/DocumentDetail?doc_id=2017050900355003" target="_blank"&gt;Verified by Public Record&lt;/a&gt;</t>
  </si>
  <si>
    <t>Juliet Balcony
Common Outdoor Space</t>
  </si>
  <si>
    <t>&lt;a href="http://a836-acris.nyc.gov/DS/DocumentSearch/DocumentDetail?doc_id=2021060100458002" target="_blank"&gt;Verified by Public Record&lt;/a&gt;</t>
  </si>
  <si>
    <t>&lt;a href="http://a836-acris.nyc.gov/DS/DocumentSearch/DocumentDetail?doc_id=2019061800882003" target="_blank"&gt;Verified by Public Record&lt;/a&gt;</t>
  </si>
  <si>
    <t>Private Wrap Around Terrace
Common Outdoor Space</t>
  </si>
  <si>
    <t>&lt;a href="http://a836-acris.nyc.gov/DS/DocumentSearch/DocumentDetail?doc_id=2019060400964002" target="_blank"&gt;Verified by Public Record&lt;/a&gt;</t>
  </si>
  <si>
    <t>&lt;a href="http://a836-acris.nyc.gov/DS/DocumentSearch/DocumentDetail?doc_id=2021061101219001" target="_blank"&gt;Verified by Public Record&lt;/a&gt;</t>
  </si>
  <si>
    <t>&lt;a href="http://a836-acris.nyc.gov/DS/DocumentSearch/DocumentDetail?doc_id=2021011600080001" target="_blank"&gt;Verified by Public Record&lt;/a&gt;</t>
  </si>
  <si>
    <t>Roof Deck
Common Roof Deck
Barbecue Area</t>
  </si>
  <si>
    <t>&lt;a href="http://a836-acris.nyc.gov/DS/DocumentSearch/DocumentDetail?doc_id=2020123100774001" target="_blank"&gt;Verified by Public Record&lt;/a&gt;</t>
  </si>
  <si>
    <t>&lt;a href="http://a836-acris.nyc.gov/DS/DocumentSearch/DocumentDetail?doc_id=2021030301432001" target="_blank"&gt;Verified by Public Record&lt;/a&gt;</t>
  </si>
  <si>
    <t>&lt;a href="http://a836-acris.nyc.gov/DS/DocumentSearch/DocumentDetail?doc_id=2020020600893001" target="_blank"&gt;Verified by Public Record&lt;/a&gt;</t>
  </si>
  <si>
    <t>&lt;a href="http://a836-acris.nyc.gov/DS/DocumentSearch/DocumentDetail?doc_id=2020011501026001" target="_blank"&gt;Verified by Public Record&lt;/a&gt;</t>
  </si>
  <si>
    <t>&lt;a href="http://a836-acris.nyc.gov/DS/DocumentSearch/DocumentDetail?doc_id=2019122000290002" target="_blank"&gt;Verified by Public Record&lt;/a&gt;</t>
  </si>
  <si>
    <t>&lt;a href="http://a836-acris.nyc.gov/DS/DocumentSearch/DocumentDetail?doc_id=2020010301095003" target="_blank"&gt;Verified by Public Record&lt;/a&gt;</t>
  </si>
  <si>
    <t>&lt;a href="http://a836-acris.nyc.gov/DS/DocumentSearch/DocumentDetail?doc_id=2020100300070002" target="_blank"&gt;Verified by Public Record&lt;/a&gt;</t>
  </si>
  <si>
    <t>&lt;a href="http://a836-acris.nyc.gov/DS/DocumentSearch/DocumentDetail?doc_id=2019121700426001" target="_blank"&gt;Verified by Public Record&lt;/a&gt;</t>
  </si>
  <si>
    <t>&lt;a href="http://a836-acris.nyc.gov/DS/DocumentSearch/DocumentDetail?doc_id=2020011401033001" target="_blank"&gt;Verified by Public Record&lt;/a&gt;</t>
  </si>
  <si>
    <t>Private Terrace
Roof Deck
Common Roof Deck
Barbecue Area</t>
  </si>
  <si>
    <t>&lt;a href="http://a836-acris.nyc.gov/DS/DocumentSearch/DocumentDetail?doc_id=2020060500606001" target="_blank"&gt;Verified by Public Record&lt;/a&gt;</t>
  </si>
  <si>
    <t>&lt;a href="http://a836-acris.nyc.gov/DS/DocumentSearch/DocumentDetail?doc_id=2021022700083003" target="_blank"&gt;Verified by Public Record&lt;/a&gt;</t>
  </si>
  <si>
    <t>&lt;a href="http://a836-acris.nyc.gov/DS/DocumentSearch/DocumentDetail?doc_id=2020072000785002" target="_blank"&gt;Verified by Public Record&lt;/a&gt;</t>
  </si>
  <si>
    <t>&lt;a href="http://a836-acris.nyc.gov/DS/DocumentSearch/DocumentDetail?doc_id=2019121801184001" target="_blank"&gt;Verified by Public Record&lt;/a&gt;</t>
  </si>
  <si>
    <t>&lt;a href="http://a836-acris.nyc.gov/DS/DocumentSearch/DocumentDetail?doc_id=2021030100406001" target="_blank"&gt;Verified by Public Record&lt;/a&gt;</t>
  </si>
  <si>
    <t>&lt;a href="http://a836-acris.nyc.gov/DS/DocumentSearch/DocumentDetail?doc_id=2021010300070001" target="_blank"&gt;Verified by Public Record&lt;/a&gt;</t>
  </si>
  <si>
    <t>&lt;a href="http://a836-acris.nyc.gov/DS/DocumentSearch/DocumentDetail?doc_id=2021030301258001" target="_blank"&gt;Verified by Public Record&lt;/a&gt;</t>
  </si>
  <si>
    <t>&lt;a href="http://a836-acris.nyc.gov/DS/DocumentSearch/DocumentDetail?doc_id=2020121500862001" target="_blank"&gt;Verified by Public Record&lt;/a&gt;</t>
  </si>
  <si>
    <t>&lt;a href="http://a836-acris.nyc.gov/DS/DocumentSearch/DocumentDetail?doc_id=2020011000721002" target="_blank"&gt;Verified by Public Record&lt;/a&gt;</t>
  </si>
  <si>
    <t>Private Roof Deck
Common Roof Deck</t>
  </si>
  <si>
    <t>Common Roof Deck
Back Yard</t>
  </si>
  <si>
    <t>&lt;a href="http://a836-acris.nyc.gov/DS/DocumentSearch/DocumentDetail?doc_id=2019070100059002" target="_blank"&gt;Verified by Public Record&lt;/a&gt;</t>
  </si>
  <si>
    <t>&lt;a href="http://a836-acris.nyc.gov/DS/DocumentSearch/DocumentDetail?doc_id=2017050100090001" target="_blank"&gt;Verified by Public Record&lt;/a&gt;</t>
  </si>
  <si>
    <t>&lt;a href="http://a836-acris.nyc.gov/DS/DocumentSearch/DocumentDetail?doc_id=2017072801188001" target="_blank"&gt;Verified by Public Record&lt;/a&gt;</t>
  </si>
  <si>
    <t>&lt;a href="http://a836-acris.nyc.gov/DS/DocumentSearch/DocumentDetail?doc_id=2017060600471002" target="_blank"&gt;Verified by Public Record&lt;/a&gt;</t>
  </si>
  <si>
    <t>&lt;a href="http://a836-acris.nyc.gov/DS/DocumentSearch/DocumentDetail?doc_id=2017053100499001" target="_blank"&gt;Verified by Public Record&lt;/a&gt;</t>
  </si>
  <si>
    <t>&lt;a href="http://a836-acris.nyc.gov/DS/DocumentSearch/DocumentDetail?doc_id=2017061601141001" target="_blank"&gt;Verified by Public Record&lt;/a&gt;</t>
  </si>
  <si>
    <t>&lt;a href="http://a836-acris.nyc.gov/DS/DocumentSearch/DocumentDetail?doc_id=2018082900990001" target="_blank"&gt;Verified by Public Record&lt;/a&gt;</t>
  </si>
  <si>
    <t>&lt;a href="http://a836-acris.nyc.gov/DS/DocumentSearch/DocumentDetail?doc_id=2017070500545002" target="_blank"&gt;Verified by Public Record&lt;/a&gt;</t>
  </si>
  <si>
    <t>&lt;a href="http://a836-acris.nyc.gov/DS/DocumentSearch/DocumentDetail?doc_id=2019080900108002" target="_blank"&gt;Verified by Public Record&lt;/a&gt;</t>
  </si>
  <si>
    <t>&lt;a href="http://a836-acris.nyc.gov/DS/DocumentSearch/DocumentDetail?doc_id=2021021701305001" target="_blank"&gt;Verified by Public Record&lt;/a&gt;</t>
  </si>
  <si>
    <t>&lt;a href="http://a836-acris.nyc.gov/DS/DocumentSearch/DocumentDetail?doc_id=2017052501287001" target="_blank"&gt;Verified by Public Record&lt;/a&gt;</t>
  </si>
  <si>
    <t>&lt;a href="http://a836-acris.nyc.gov/DS/DocumentSearch/DocumentDetail?doc_id=2020111201467001" target="_blank"&gt;Verified by Public Record&lt;/a&gt;</t>
  </si>
  <si>
    <t>Deck
Common Roof Deck
Barbecue Area
Common Outdoor Space</t>
  </si>
  <si>
    <t>&lt;a href="http://a836-acris.nyc.gov/DS/DocumentSearch/DocumentDetail?doc_id=2020100201075002" target="_blank"&gt;Verified by Public Record&lt;/a&gt;</t>
  </si>
  <si>
    <t>&lt;a href="http://a836-acris.nyc.gov/DS/DocumentSearch/DocumentDetail?doc_id=2020122300122001" target="_blank"&gt;Verified by Public Record&lt;/a&gt;</t>
  </si>
  <si>
    <t>&lt;a href="http://a836-acris.nyc.gov/DS/DocumentSearch/DocumentDetail?doc_id=2021011301294003" target="_blank"&gt;Verified by Public Record&lt;/a&gt;</t>
  </si>
  <si>
    <t>Balcony
Common Roof Deck</t>
  </si>
  <si>
    <t>East Harlem</t>
  </si>
  <si>
    <t>&lt;a href="http://a836-acris.nyc.gov/DS/DocumentSearch/DocumentDetail?doc_id=2018080700562001" target="_blank"&gt;Verified by Public Record&lt;/a&gt;</t>
  </si>
  <si>
    <t>&lt;a href="http://a836-acris.nyc.gov/DS/DocumentSearch/DocumentDetail?doc_id=2020011501104001" target="_blank"&gt;Verified by Public Record&lt;/a&gt;</t>
  </si>
  <si>
    <t>Other</t>
  </si>
  <si>
    <t>&lt;a href="http://a836-acris.nyc.gov/DS/DocumentSearch/DocumentDetail?doc_id=2018041200632002" target="_blank"&gt;Verified by Public Record&lt;/a&gt;</t>
  </si>
  <si>
    <t>&lt;a href="http://a836-acris.nyc.gov/DS/DocumentSearch/DocumentDetail?doc_id=2020091501279003" target="_blank"&gt;Verified by Public Record&lt;/a&gt;</t>
  </si>
  <si>
    <t>&lt;a href="http://a836-acris.nyc.gov/DS/DocumentSearch/DocumentDetail?doc_id=2016032801216001" target="_blank"&gt;Verified by Public Record&lt;/a&gt;</t>
  </si>
  <si>
    <t>Private Terrace
Common Garden
Common Outdoor Space
Private Outdoor Space</t>
  </si>
  <si>
    <t>&lt;a href="http://a836-acris.nyc.gov/DS/DocumentSearch/DocumentDetail?doc_id=2020013100408001" target="_blank"&gt;Verified by Public Record&lt;/a&gt;</t>
  </si>
  <si>
    <t>&lt;a href="http://a836-acris.nyc.gov/DS/DocumentSearch/DocumentDetail?doc_id=2016011200956007" target="_blank"&gt;Verified by Public Record&lt;/a&gt;</t>
  </si>
  <si>
    <t>Balcony
Juliet Balcony
Common Garden
Common Outdoor Space</t>
  </si>
  <si>
    <t>&lt;a href="http://a836-acris.nyc.gov/DS/DocumentSearch/DocumentDetail?doc_id=2020030600156001" target="_blank"&gt;Verified by Public Record&lt;/a&gt;</t>
  </si>
  <si>
    <t>&lt;a href="http://a836-acris.nyc.gov/DS/DocumentSearch/DocumentDetail?doc_id=2016011800007002" target="_blank"&gt;Verified by Public Record&lt;/a&gt;</t>
  </si>
  <si>
    <t>Private Terrace
Private Roof Deck
Common Garden
Common Outdoor Space
Private Outdoor Space</t>
  </si>
  <si>
    <t>&lt;a href="http://a836-acris.nyc.gov/DS/DocumentSearch/DocumentDetail?doc_id=2017061300493002" target="_blank"&gt;Verified by Public Record&lt;/a&gt;</t>
  </si>
  <si>
    <t>&lt;a href="http://a836-acris.nyc.gov/DS/DocumentSearch/DocumentDetail?doc_id=2021072000917001" target="_blank"&gt;Verified by Public Record&lt;/a&gt;</t>
  </si>
  <si>
    <t>&lt;a href="http://a836-acris.nyc.gov/DS/DocumentSearch/DocumentDetail?doc_id=2016012500849002" target="_blank"&gt;Verified by Public Record&lt;/a&gt;</t>
  </si>
  <si>
    <t>Balcony
Common Garden
Common Outdoor Space</t>
  </si>
  <si>
    <t>&lt;a href="http://a836-acris.nyc.gov/DS/DocumentSearch/DocumentDetail?doc_id=2015123101130001" target="_blank"&gt;Verified by Public Record&lt;/a&gt;</t>
  </si>
  <si>
    <t>&lt;a href="http://a836-acris.nyc.gov/DS/DocumentSearch/DocumentDetail?doc_id=2015011500571001" target="_blank"&gt;Verified by Public Record&lt;/a&gt;</t>
  </si>
  <si>
    <t>&lt;a href="http://a836-acris.nyc.gov/DS/DocumentSearch/DocumentDetail?doc_id=2016012900490001" target="_blank"&gt;Verified by Public Record&lt;/a&gt;</t>
  </si>
  <si>
    <t>&lt;a href="http://a836-acris.nyc.gov/DS/DocumentSearch/DocumentDetail?doc_id=2016071400279001" target="_blank"&gt;Verified by Public Record&lt;/a&gt;</t>
  </si>
  <si>
    <t>&lt;a href="http://a836-acris.nyc.gov/DS/DocumentSearch/DocumentDetail?doc_id=2015011500469002" target="_blank"&gt;Verified by Public Record&lt;/a&gt;</t>
  </si>
  <si>
    <t>&lt;a href="http://a836-acris.nyc.gov/DS/DocumentSearch/DocumentDetail?doc_id=2015012900120003" target="_blank"&gt;Verified by Public Record&lt;/a&gt;</t>
  </si>
  <si>
    <t>&lt;a href="http://a836-acris.nyc.gov/DS/DocumentSearch/DocumentDetail?doc_id=2016011100116003" target="_blank"&gt;Verified by Public Record&lt;/a&gt;</t>
  </si>
  <si>
    <t>&lt;a href="http://a836-acris.nyc.gov/DS/DocumentSearch/DocumentDetail?doc_id=2019092000484003" target="_blank"&gt;Verified by Public Record&lt;/a&gt;</t>
  </si>
  <si>
    <t>&lt;a href="http://a836-acris.nyc.gov/DS/DocumentSearch/DocumentDetail?doc_id=2016012600498001" target="_blank"&gt;Verified by Public Record&lt;/a&gt;</t>
  </si>
  <si>
    <t>&lt;a href="http://a836-acris.nyc.gov/DS/DocumentSearch/DocumentDetail?doc_id=2016012500408001" target="_blank"&gt;Verified by Public Record&lt;/a&gt;</t>
  </si>
  <si>
    <t>&lt;a href="http://a836-acris.nyc.gov/DS/DocumentSearch/DocumentDetail?doc_id=2016040700142001" target="_blank"&gt;Verified by Public Record&lt;/a&gt;</t>
  </si>
  <si>
    <t>&lt;a href="http://a836-acris.nyc.gov/DS/DocumentSearch/DocumentDetail?doc_id=2018040500533001" target="_blank"&gt;Verified by Public Record&lt;/a&gt;</t>
  </si>
  <si>
    <t>&lt;a href="http://a836-acris.nyc.gov/DS/DocumentSearch/DocumentDetail?doc_id=2016082600591001" target="_blank"&gt;Verified by Public Record&lt;/a&gt;</t>
  </si>
  <si>
    <t>&lt;a href="http://a836-acris.nyc.gov/DS/DocumentSearch/DocumentDetail?doc_id=2021081200942002" target="_blank"&gt;Verified by Public Record&lt;/a&gt;</t>
  </si>
  <si>
    <t>&lt;a href="http://a836-acris.nyc.gov/DS/DocumentSearch/DocumentDetail?doc_id=2018102400404001" target="_blank"&gt;Verified by Public Record&lt;/a&gt;</t>
  </si>
  <si>
    <t>Private Terrace
Private Roof Deck
Roof Deck
Common Roof Deck
Common Garden
Common Outdoor Space
Private Outdoor Space</t>
  </si>
  <si>
    <t>&lt;a href="http://a836-acris.nyc.gov/DS/DocumentSearch/DocumentDetail?doc_id=2015011600451001" target="_blank"&gt;Verified by Public Record&lt;/a&gt;</t>
  </si>
  <si>
    <t>&lt;a href="http://a836-acris.nyc.gov/DS/DocumentSearch/DocumentDetail?doc_id=2018070200764001" target="_blank"&gt;Verified by Public Record&lt;/a&gt;</t>
  </si>
  <si>
    <t>&lt;a href="http://a836-acris.nyc.gov/DS/DocumentSearch/DocumentDetail?doc_id=2018013100587001" target="_blank"&gt;Verified by Public Record&lt;/a&gt;</t>
  </si>
  <si>
    <t>&lt;a href="http://a836-acris.nyc.gov/DS/DocumentSearch/DocumentDetail?doc_id=2015122901588003" target="_blank"&gt;Verified by Public Record&lt;/a&gt;</t>
  </si>
  <si>
    <t>&lt;a href="http://a836-acris.nyc.gov/DS/DocumentSearch/DocumentDetail?doc_id=2018021500021002" target="_blank"&gt;Verified by Public Record&lt;/a&gt;</t>
  </si>
  <si>
    <t>&lt;a href="http://a836-acris.nyc.gov/DS/DocumentSearch/DocumentDetail?doc_id=2018030600721001" target="_blank"&gt;Verified by Public Record&lt;/a&gt;</t>
  </si>
  <si>
    <t>&lt;a href="http://a836-acris.nyc.gov/DS/DocumentSearch/DocumentDetail?doc_id=2019070200389001" target="_blank"&gt;Verified by Public Record&lt;/a&gt;</t>
  </si>
  <si>
    <t>&lt;a href="http://a836-acris.nyc.gov/DS/DocumentSearch/DocumentDetail?doc_id=2020120800071003" target="_blank"&gt;Verified by Public Record&lt;/a&gt;</t>
  </si>
  <si>
    <t>&lt;a href="http://a836-acris.nyc.gov/DS/DocumentSearch/DocumentDetail?doc_id=2018031900082002" target="_blank"&gt;Verified by Public Record&lt;/a&gt;</t>
  </si>
  <si>
    <t>&lt;a href="http://a836-acris.nyc.gov/DS/DocumentSearch/DocumentDetail?doc_id=2018050101062001" target="_blank"&gt;Verified by Public Record&lt;/a&gt;</t>
  </si>
  <si>
    <t>&lt;a href="http://a836-acris.nyc.gov/DS/DocumentSearch/DocumentDetail?doc_id=2018042300227001" target="_blank"&gt;Verified by Public Record&lt;/a&gt;</t>
  </si>
  <si>
    <t>&lt;a href="http://a836-acris.nyc.gov/DS/DocumentSearch/DocumentDetail?doc_id=2018020900626001" target="_blank"&gt;Verified by Public Record&lt;/a&gt;</t>
  </si>
  <si>
    <t>&lt;a href="http://a836-acris.nyc.gov/DS/DocumentSearch/DocumentDetail?doc_id=2018031400448001" target="_blank"&gt;Verified by Public Record&lt;/a&gt;</t>
  </si>
  <si>
    <t>&lt;a href="http://a836-acris.nyc.gov/DS/DocumentSearch/DocumentDetail?doc_id=2018031600320001" target="_blank"&gt;Verified by Public Record&lt;/a&gt;</t>
  </si>
  <si>
    <t>&lt;a href="http://a836-acris.nyc.gov/DS/DocumentSearch/DocumentDetail?doc_id=2018022801382001" target="_blank"&gt;Verified by Public Record&lt;/a&gt;</t>
  </si>
  <si>
    <t>&lt;a href="http://a836-acris.nyc.gov/DS/DocumentSearch/DocumentDetail?doc_id=2018050800295001" target="_blank"&gt;Verified by Public Record&lt;/a&gt;</t>
  </si>
  <si>
    <t>&lt;a href="http://a836-acris.nyc.gov/DS/DocumentSearch/DocumentDetail?doc_id=2018043000841001" target="_blank"&gt;Verified by Public Record&lt;/a&gt;</t>
  </si>
  <si>
    <t>&lt;a href="http://a836-acris.nyc.gov/DS/DocumentSearch/DocumentDetail?doc_id=2018041000842004" target="_blank"&gt;Verified by Public Record&lt;/a&gt;</t>
  </si>
  <si>
    <t>&lt;a href="http://a836-acris.nyc.gov/DS/DocumentSearch/DocumentDetail?doc_id=2018041200664001" target="_blank"&gt;Verified by Public Record&lt;/a&gt;</t>
  </si>
  <si>
    <t>&lt;a href="http://a836-acris.nyc.gov/DS/DocumentSearch/DocumentDetail?doc_id=2018071000180001" target="_blank"&gt;Verified by Public Record&lt;/a&gt;</t>
  </si>
  <si>
    <t>&lt;a href="http://a836-acris.nyc.gov/DS/DocumentSearch/DocumentDetail?doc_id=2018100300259001" target="_blank"&gt;Verified by Public Record&lt;/a&gt;</t>
  </si>
  <si>
    <t>Roof Deck
Common Roof Deck
Common Garden
Common Outdoor Space
Private Outdoor Space
Private Pool</t>
  </si>
  <si>
    <t>&lt;a href="http://a836-acris.nyc.gov/DS/DocumentSearch/DocumentDetail?doc_id=2021042000582001" target="_blank"&gt;Verified by Public Record&lt;/a&gt;</t>
  </si>
  <si>
    <t>&lt;a href="http://a836-acris.nyc.gov/DS/DocumentSearch/DocumentDetail?doc_id=2018012400916001" target="_blank"&gt;Verified by Public Record&lt;/a&gt;</t>
  </si>
  <si>
    <t>&lt;a href="http://a836-acris.nyc.gov/DS/DocumentSearch/DocumentDetail?doc_id=2018020100608007" target="_blank"&gt;Verified by Public Record&lt;/a&gt;</t>
  </si>
  <si>
    <t>&lt;a href="http://a836-acris.nyc.gov/DS/DocumentSearch/DocumentDetail?doc_id=2018031900392001" target="_blank"&gt;Verified by Public Record&lt;/a&gt;</t>
  </si>
  <si>
    <t>&lt;a href="http://a836-acris.nyc.gov/DS/DocumentSearch/DocumentDetail?doc_id=2018031200988001" target="_blank"&gt;Verified by Public Record&lt;/a&gt;</t>
  </si>
  <si>
    <t>&lt;a href="http://a836-acris.nyc.gov/DS/DocumentSearch/DocumentDetail?doc_id=2021062400301001" target="_blank"&gt;Verified by Public Record&lt;/a&gt;</t>
  </si>
  <si>
    <t>Balcony
Private Roof Deck
Common Outdoor Space</t>
  </si>
  <si>
    <t>&lt;a href="http://a836-acris.nyc.gov/DS/DocumentSearch/DocumentDetail?doc_id=2019062100884001" target="_blank"&gt;Verified by Public Record&lt;/a&gt;</t>
  </si>
  <si>
    <t>&lt;a href="http://a836-acris.nyc.gov/DS/DocumentSearch/DocumentDetail?doc_id=2018020701005002" target="_blank"&gt;Verified by Public Record&lt;/a&gt;</t>
  </si>
  <si>
    <t>&lt;a href="http://a836-acris.nyc.gov/DS/DocumentSearch/DocumentDetail?doc_id=2018020800068001" target="_blank"&gt;Verified by Public Record&lt;/a&gt;</t>
  </si>
  <si>
    <t>&lt;a href="http://a836-acris.nyc.gov/DS/DocumentSearch/DocumentDetail?doc_id=2018011202457001" target="_blank"&gt;Verified by Public Record&lt;/a&gt;</t>
  </si>
  <si>
    <t>&lt;a href="http://a836-acris.nyc.gov/DS/DocumentSearch/DocumentDetail?doc_id=2018021500659001" target="_blank"&gt;Verified by Public Record&lt;/a&gt;</t>
  </si>
  <si>
    <t>&lt;a href="http://a836-acris.nyc.gov/DS/DocumentSearch/DocumentDetail?doc_id=2018020500286001" target="_blank"&gt;Verified by Public Record&lt;/a&gt;</t>
  </si>
  <si>
    <t>&lt;a href="http://a836-acris.nyc.gov/DS/DocumentSearch/DocumentDetail?doc_id=2018032300968003" target="_blank"&gt;Verified by Public Record&lt;/a&gt;</t>
  </si>
  <si>
    <t>&lt;a href="http://a836-acris.nyc.gov/DS/DocumentSearch/DocumentDetail?doc_id=2018071601140001" target="_blank"&gt;Verified by Public Record&lt;/a&gt;</t>
  </si>
  <si>
    <t>&lt;a href="http://a836-acris.nyc.gov/DS/DocumentSearch/DocumentDetail?doc_id=2018060500878004" target="_blank"&gt;Verified by Public Record&lt;/a&gt;</t>
  </si>
  <si>
    <t>&lt;a href="http://a836-acris.nyc.gov/DS/DocumentSearch/DocumentDetail?doc_id=2018020800198002" target="_blank"&gt;Verified by Public Record&lt;/a&gt;</t>
  </si>
  <si>
    <t>&lt;a href="http://a836-acris.nyc.gov/DS/DocumentSearch/DocumentDetail?doc_id=2018032800581001" target="_blank"&gt;Verified by Public Record&lt;/a&gt;</t>
  </si>
  <si>
    <t>&lt;a href="http://a836-acris.nyc.gov/DS/DocumentSearch/DocumentDetail?doc_id=2018032600497001" target="_blank"&gt;Verified by Public Record&lt;/a&gt;</t>
  </si>
  <si>
    <t>&lt;a href="http://a836-acris.nyc.gov/DS/DocumentSearch/DocumentDetail?doc_id=2018032700945001" target="_blank"&gt;Verified by Public Record&lt;/a&gt;</t>
  </si>
  <si>
    <t>&lt;a href="http://a836-acris.nyc.gov/DS/DocumentSearch/DocumentDetail?doc_id=2018022800517002" target="_blank"&gt;Verified by Public Record&lt;/a&gt;</t>
  </si>
  <si>
    <t>&lt;a href="http://a836-acris.nyc.gov/DS/DocumentSearch/DocumentDetail?doc_id=2018020800940001" target="_blank"&gt;Verified by Public Record&lt;/a&gt;</t>
  </si>
  <si>
    <t>&lt;a href="http://a836-acris.nyc.gov/DS/DocumentSearch/DocumentDetail?doc_id=2018020600774003" target="_blank"&gt;Verified by Public Record&lt;/a&gt;</t>
  </si>
  <si>
    <t>&lt;a href="http://a836-acris.nyc.gov/DS/DocumentSearch/DocumentDetail?doc_id=2018030800008001" target="_blank"&gt;Verified by Public Record&lt;/a&gt;</t>
  </si>
  <si>
    <t>&lt;a href="http://a836-acris.nyc.gov/DS/DocumentSearch/DocumentDetail?doc_id=2018021300911001" target="_blank"&gt;Verified by Public Record&lt;/a&gt;</t>
  </si>
  <si>
    <t>Deck
Roof Deck
Common Roof Deck
Common Garden
Common Outdoor Space
Private Outdoor Space</t>
  </si>
  <si>
    <t>&lt;a href="http://a836-acris.nyc.gov/DS/DocumentSearch/DocumentDetail?doc_id=2018040600586007" target="_blank"&gt;Verified by Public Record&lt;/a&gt;</t>
  </si>
  <si>
    <t>&lt;a href="http://a836-acris.nyc.gov/DS/DocumentSearch/DocumentDetail?doc_id=2018031300463001" target="_blank"&gt;Verified by Public Record&lt;/a&gt;</t>
  </si>
  <si>
    <t>&lt;a href="http://a836-acris.nyc.gov/DS/DocumentSearch/DocumentDetail?doc_id=2018011100410001" target="_blank"&gt;Verified by Public Record&lt;/a&gt;</t>
  </si>
  <si>
    <t>&lt;a href="http://a836-acris.nyc.gov/DS/DocumentSearch/DocumentDetail?doc_id=2018042600286001" target="_blank"&gt;Verified by Public Record&lt;/a&gt;</t>
  </si>
  <si>
    <t>&lt;a href="http://a836-acris.nyc.gov/DS/DocumentSearch/DocumentDetail?doc_id=2018021200389004" target="_blank"&gt;Verified by Public Record&lt;/a&gt;</t>
  </si>
  <si>
    <t>&lt;a href="http://a836-acris.nyc.gov/DS/DocumentSearch/DocumentDetail?doc_id=2018021600938007" target="_blank"&gt;Verified by Public Record&lt;/a&gt;</t>
  </si>
  <si>
    <t>&lt;a href="http://a836-acris.nyc.gov/DS/DocumentSearch/DocumentDetail?doc_id=2018022600901001" target="_blank"&gt;Verified by Public Record&lt;/a&gt;</t>
  </si>
  <si>
    <t>&lt;a href="http://a836-acris.nyc.gov/DS/DocumentSearch/DocumentDetail?doc_id=2018042600679003" target="_blank"&gt;Verified by Public Record&lt;/a&gt;</t>
  </si>
  <si>
    <t>&lt;a href="http://a836-acris.nyc.gov/DS/DocumentSearch/DocumentDetail?doc_id=2018021900307001" target="_blank"&gt;Verified by Public Record&lt;/a&gt;</t>
  </si>
  <si>
    <t>&lt;a href="http://a836-acris.nyc.gov/DS/DocumentSearch/DocumentDetail?doc_id=2018021300622001" target="_blank"&gt;Verified by Public Record&lt;/a&gt;</t>
  </si>
  <si>
    <t>&lt;a href="http://a836-acris.nyc.gov/DS/DocumentSearch/DocumentDetail?doc_id=2018012901239002" target="_blank"&gt;Verified by Public Record&lt;/a&gt;</t>
  </si>
  <si>
    <t>&lt;a href="http://a836-acris.nyc.gov/DS/DocumentSearch/DocumentDetail?doc_id=2018032700858003" target="_blank"&gt;Verified by Public Record&lt;/a&gt;</t>
  </si>
  <si>
    <t>&lt;a href="http://a836-acris.nyc.gov/DS/DocumentSearch/DocumentDetail?doc_id=2018062000126001" target="_blank"&gt;Verified by Public Record&lt;/a&gt;</t>
  </si>
  <si>
    <t>&lt;a href="http://a836-acris.nyc.gov/DS/DocumentSearch/DocumentDetail?doc_id=2018032900063001" target="_blank"&gt;Verified by Public Record&lt;/a&gt;</t>
  </si>
  <si>
    <t>&lt;a href="http://a836-acris.nyc.gov/DS/DocumentSearch/DocumentDetail?doc_id=2018071300388001" target="_blank"&gt;Verified by Public Record&lt;/a&gt;</t>
  </si>
  <si>
    <t>&lt;a href="http://a836-acris.nyc.gov/DS/DocumentSearch/DocumentDetail?doc_id=2018071900865001" target="_blank"&gt;Verified by Public Record&lt;/a&gt;</t>
  </si>
  <si>
    <t>&lt;a href="http://a836-acris.nyc.gov/DS/DocumentSearch/DocumentDetail?doc_id=2018072400131003" target="_blank"&gt;Verified by Public Record&lt;/a&gt;</t>
  </si>
  <si>
    <t>&lt;a href="http://a836-acris.nyc.gov/DS/DocumentSearch/DocumentDetail?doc_id=2018081400877001" target="_blank"&gt;Verified by Public Record&lt;/a&gt;</t>
  </si>
  <si>
    <t>&lt;a href="http://a836-acris.nyc.gov/DS/DocumentSearch/DocumentDetail?doc_id=2018102400631001" target="_blank"&gt;Verified by Public Record&lt;/a&gt;</t>
  </si>
  <si>
    <t>Private Roof Deck
Roof Deck
Common Roof Deck
Common Garden
Common Outdoor Space
Private Outdoor Space</t>
  </si>
  <si>
    <t>&lt;a href="http://a836-acris.nyc.gov/DS/DocumentSearch/DocumentDetail?doc_id=2021032900970001" target="_blank"&gt;Verified by Public Record&lt;/a&gt;</t>
  </si>
  <si>
    <t>&lt;a href="http://a836-acris.nyc.gov/DS/DocumentSearch/DocumentDetail?doc_id=2021020200477001" target="_blank"&gt;Verified by Public Record&lt;/a&gt;</t>
  </si>
  <si>
    <t>&lt;a href="http://a836-acris.nyc.gov/DS/DocumentSearch/DocumentDetail?doc_id=2020043000330001" target="_blank"&gt;Verified by Public Record&lt;/a&gt;</t>
  </si>
  <si>
    <t>&lt;a href="http://a836-acris.nyc.gov/DS/DocumentSearch/DocumentDetail?doc_id=2020061000642001" target="_blank"&gt;Verified by Public Record&lt;/a&gt;</t>
  </si>
  <si>
    <t>&lt;a href="http://a836-acris.nyc.gov/DS/DocumentSearch/DocumentDetail?doc_id=2016030300955001" target="_blank"&gt;Verified by Public Record&lt;/a&gt;</t>
  </si>
  <si>
    <t>&lt;a href="http://a836-acris.nyc.gov/DS/DocumentSearch/DocumentDetail?doc_id=2018080101035003" target="_blank"&gt;Verified by Public Record&lt;/a&gt;</t>
  </si>
  <si>
    <t>Private Patio
Common Garden
Common Outdoor Space</t>
  </si>
  <si>
    <t>&lt;a href="http://a836-acris.nyc.gov/DS/DocumentSearch/DocumentDetail?doc_id=2021040600655001" target="_blank"&gt;Verified by Public Record&lt;/a&gt;</t>
  </si>
  <si>
    <t>&lt;a href="http://a836-acris.nyc.gov/DS/DocumentSearch/DocumentDetail?doc_id=2021032200825001" target="_blank"&gt;Verified by Public Record&lt;/a&gt;</t>
  </si>
  <si>
    <t>&lt;a href="http://a836-acris.nyc.gov/DS/DocumentSearch/DocumentDetail?doc_id=2018061900319002" target="_blank"&gt;Verified by Public Record&lt;/a&gt;</t>
  </si>
  <si>
    <t>&lt;a href="http://a836-acris.nyc.gov/DS/DocumentSearch/DocumentDetail?doc_id=2018042600488001" target="_blank"&gt;Verified by Public Record&lt;/a&gt;</t>
  </si>
  <si>
    <t>&lt;a href="http://a836-acris.nyc.gov/DS/DocumentSearch/DocumentDetail?doc_id=2021021201231002" target="_blank"&gt;Verified by Public Record&lt;/a&gt;</t>
  </si>
  <si>
    <t>&lt;a href="http://a836-acris.nyc.gov/DS/DocumentSearch/DocumentDetail?doc_id=2018022300832001" target="_blank"&gt;Verified by Public Record&lt;/a&gt;</t>
  </si>
  <si>
    <t>&lt;a href="http://a836-acris.nyc.gov/DS/DocumentSearch/DocumentDetail?doc_id=2019022200650001" target="_blank"&gt;Verified by Public Record&lt;/a&gt;</t>
  </si>
  <si>
    <t>&lt;a href="http://a836-acris.nyc.gov/DS/DocumentSearch/DocumentDetail?doc_id=2017022101058001" target="_blank"&gt;Verified by Public Record&lt;/a&gt;</t>
  </si>
  <si>
    <t>&lt;a href="http://a836-acris.nyc.gov/DS/DocumentSearch/DocumentDetail?doc_id=2018051001130001" target="_blank"&gt;Verified by Public Record&lt;/a&gt;</t>
  </si>
  <si>
    <t>&lt;a href="http://a836-acris.nyc.gov/DS/DocumentSearch/DocumentDetail?doc_id=2018050700191001" target="_blank"&gt;Verified by Public Record&lt;/a&gt;</t>
  </si>
  <si>
    <t>&lt;a href="http://a836-acris.nyc.gov/DS/DocumentSearch/DocumentDetail?doc_id=2019020500419002" target="_blank"&gt;Verified by Public Record&lt;/a&gt;</t>
  </si>
  <si>
    <t>&lt;a href="http://a836-acris.nyc.gov/DS/DocumentSearch/DocumentDetail?doc_id=2018020200774004" target="_blank"&gt;Verified by Public Record&lt;/a&gt;</t>
  </si>
  <si>
    <t>&lt;a href="http://a836-acris.nyc.gov/DS/DocumentSearch/DocumentDetail?doc_id=2018011600512001" target="_blank"&gt;Verified by Public Record&lt;/a&gt;</t>
  </si>
  <si>
    <t>&lt;a href="http://a836-acris.nyc.gov/DS/DocumentSearch/DocumentDetail?doc_id=2018062800387001" target="_blank"&gt;Verified by Public Record&lt;/a&gt;</t>
  </si>
  <si>
    <t>&lt;a href="http://a836-acris.nyc.gov/DS/DocumentSearch/DocumentDetail?doc_id=2021061700538001" target="_blank"&gt;Verified by Public Record&lt;/a&gt;</t>
  </si>
  <si>
    <t>&lt;a href="http://a836-acris.nyc.gov/DS/DocumentSearch/DocumentDetail?doc_id=2021030200811003" target="_blank"&gt;Verified by Public Record&lt;/a&gt;</t>
  </si>
  <si>
    <t>&lt;a href="http://a836-acris.nyc.gov/DS/DocumentSearch/DocumentDetail?doc_id=2016030200219001" target="_blank"&gt;Verified by Public Record&lt;/a&gt;</t>
  </si>
  <si>
    <t>&lt;a href="http://a836-acris.nyc.gov/DS/DocumentSearch/DocumentDetail?doc_id=2016051701142001" target="_blank"&gt;Verified by Public Record&lt;/a&gt;</t>
  </si>
  <si>
    <t>&lt;a href="http://a836-acris.nyc.gov/DS/DocumentSearch/DocumentDetail?doc_id=2016032400540001" target="_blank"&gt;Verified by Public Record&lt;/a&gt;</t>
  </si>
  <si>
    <t>&lt;a href="http://a836-acris.nyc.gov/DS/DocumentSearch/DocumentDetail?doc_id=2016032400495003" target="_blank"&gt;Verified by Public Record&lt;/a&gt;</t>
  </si>
  <si>
    <t>&lt;a href="http://a836-acris.nyc.gov/DS/DocumentSearch/DocumentDetail?doc_id=2021080200931002" target="_blank"&gt;Verified by Public Record&lt;/a&gt;</t>
  </si>
  <si>
    <t>&lt;a href="http://a836-acris.nyc.gov/DS/DocumentSearch/DocumentDetail?doc_id=2017042000355001" target="_blank"&gt;Verified by Public Record&lt;/a&gt;</t>
  </si>
  <si>
    <t>&lt;a href="http://a836-acris.nyc.gov/DS/DocumentSearch/DocumentDetail?doc_id=2021062800028006" target="_blank"&gt;Verified by Public Record&lt;/a&gt;</t>
  </si>
  <si>
    <t>Balcony
Private Roof Deck
Common Outdoor Space
Private Outdoor Space</t>
  </si>
  <si>
    <t>Doorman</t>
  </si>
  <si>
    <t>&lt;a href="http://a836-acris.nyc.gov/DS/DocumentSearch/DocumentDetail?doc_id=2018031100005003" target="_blank"&gt;Verified by Public Record&lt;/a&gt;</t>
  </si>
  <si>
    <t>&lt;a href="http://a836-acris.nyc.gov/DS/DocumentSearch/DocumentDetail?doc_id=2018031500988001" target="_blank"&gt;Verified by Public Record&lt;/a&gt;</t>
  </si>
  <si>
    <t>&lt;a href="http://a836-acris.nyc.gov/DS/DocumentSearch/DocumentDetail?doc_id=2019030500384001" target="_blank"&gt;Verified by Public Record&lt;/a&gt;</t>
  </si>
  <si>
    <t>&lt;a href="http://a836-acris.nyc.gov/DS/DocumentSearch/DocumentDetail?doc_id=2016060100665001" target="_blank"&gt;Verified by Public Record&lt;/a&gt;</t>
  </si>
  <si>
    <t>Balcony
Common Garden
Common Outdoor Space
Private Outdoor Space</t>
  </si>
  <si>
    <t>&lt;a href="http://a836-acris.nyc.gov/DS/DocumentSearch/DocumentDetail?doc_id=2016030101518001" target="_blank"&gt;Verified by Public Record&lt;/a&gt;</t>
  </si>
  <si>
    <t>&lt;a href="http://a836-acris.nyc.gov/DS/DocumentSearch/DocumentDetail?doc_id=2016031100113002" target="_blank"&gt;Verified by Public Record&lt;/a&gt;</t>
  </si>
  <si>
    <t>&lt;a href="http://a836-acris.nyc.gov/DS/DocumentSearch/DocumentDetail?doc_id=2016040700494001" target="_blank"&gt;Verified by Public Record&lt;/a&gt;</t>
  </si>
  <si>
    <t>&lt;a href="http://a836-acris.nyc.gov/DS/DocumentSearch/DocumentDetail?doc_id=2016042700266002" target="_blank"&gt;Verified by Public Record&lt;/a&gt;</t>
  </si>
  <si>
    <t>&lt;a href="http://a836-acris.nyc.gov/DS/DocumentSearch/DocumentDetail?doc_id=2016042101522001" target="_blank"&gt;Verified by Public Record&lt;/a&gt;</t>
  </si>
  <si>
    <t>&lt;a href="http://a836-acris.nyc.gov/DS/DocumentSearch/DocumentDetail?doc_id=2016032900546001" target="_blank"&gt;Verified by Public Record&lt;/a&gt;</t>
  </si>
  <si>
    <t>&lt;a href="http://a836-acris.nyc.gov/DS/DocumentSearch/DocumentDetail?doc_id=2021041401513001" target="_blank"&gt;Verified by Public Record&lt;/a&gt;</t>
  </si>
  <si>
    <t>&lt;a href="http://a836-acris.nyc.gov/DS/DocumentSearch/DocumentDetail?doc_id=2020012100816002" target="_blank"&gt;Verified by Public Record&lt;/a&gt;</t>
  </si>
  <si>
    <t>&lt;a href="http://a836-acris.nyc.gov/DS/DocumentSearch/DocumentDetail?doc_id=2016040400570001" target="_blank"&gt;Verified by Public Record&lt;/a&gt;</t>
  </si>
  <si>
    <t>&lt;a href="http://a836-acris.nyc.gov/DS/DocumentSearch/DocumentDetail?doc_id=2016040600601001" target="_blank"&gt;Verified by Public Record&lt;/a&gt;</t>
  </si>
  <si>
    <t>&lt;a href="http://a836-acris.nyc.gov/DS/DocumentSearch/DocumentDetail?doc_id=2016040600101001" target="_blank"&gt;Verified by Public Record&lt;/a&gt;</t>
  </si>
  <si>
    <t>&lt;a href="http://a836-acris.nyc.gov/DS/DocumentSearch/DocumentDetail?doc_id=2016041200214001" target="_blank"&gt;Verified by Public Record&lt;/a&gt;</t>
  </si>
  <si>
    <t>&lt;a href="http://a836-acris.nyc.gov/DS/DocumentSearch/DocumentDetail?doc_id=2018022200168001" target="_blank"&gt;Verified by Public Record&lt;/a&gt;</t>
  </si>
  <si>
    <t>&lt;a href="http://a836-acris.nyc.gov/DS/DocumentSearch/DocumentDetail?doc_id=2018032700361001" target="_blank"&gt;Verified by Public Record&lt;/a&gt;</t>
  </si>
  <si>
    <t>&lt;a href="http://a836-acris.nyc.gov/DS/DocumentSearch/DocumentDetail?doc_id=2018032800859001" target="_blank"&gt;Verified by Public Record&lt;/a&gt;</t>
  </si>
  <si>
    <t>&lt;a href="http://a836-acris.nyc.gov/DS/DocumentSearch/DocumentDetail?doc_id=2021031000919001" target="_blank"&gt;Verified by Public Record&lt;/a&gt;</t>
  </si>
  <si>
    <t>Private Terrace
Private Wrap Around Terrace
Common Garden
Common Outdoor Space
Private Outdoor Space</t>
  </si>
  <si>
    <t>&lt;a href="http://a836-acris.nyc.gov/DS/DocumentSearch/DocumentDetail?doc_id=2018061900394001" target="_blank"&gt;Verified by Public Record&lt;/a&gt;</t>
  </si>
  <si>
    <t>Private Terrace
Roof Deck
Common Roof Deck
Barbecue Area
Common Garden
Common Outdoor Space
Private Outdoor Space</t>
  </si>
  <si>
    <t>&lt;a href="http://a836-acris.nyc.gov/DS/DocumentSearch/DocumentDetail?doc_id=2018060101124001" target="_blank"&gt;Verified by Public Record&lt;/a&gt;</t>
  </si>
  <si>
    <t>Private Terrace
Private Roof Deck
Roof Deck
Common Roof Deck
Barbecue Area
Common Garden
Common Outdoor Space
Private Outdoor Space</t>
  </si>
  <si>
    <t>&lt;a href="http://a836-acris.nyc.gov/DS/DocumentSearch/DocumentDetail?doc_id=2018081300571001" target="_blank"&gt;Verified by Public Record&lt;/a&gt;</t>
  </si>
  <si>
    <t>&lt;a href="http://a836-acris.nyc.gov/DS/DocumentSearch/DocumentDetail?doc_id=2018071700324003" target="_blank"&gt;Verified by Public Record&lt;/a&gt;</t>
  </si>
  <si>
    <t>&lt;a href="http://a836-acris.nyc.gov/DS/DocumentSearch/DocumentDetail?doc_id=2018071700085001" target="_blank"&gt;Verified by Public Record&lt;/a&gt;</t>
  </si>
  <si>
    <t>&lt;a href="http://a836-acris.nyc.gov/DS/DocumentSearch/DocumentDetail?doc_id=2018071800313001" target="_blank"&gt;Verified by Public Record&lt;/a&gt;</t>
  </si>
  <si>
    <t>&lt;a href="http://a836-acris.nyc.gov/DS/DocumentSearch/DocumentDetail?doc_id=2018070300701002" target="_blank"&gt;Verified by Public Record&lt;/a&gt;</t>
  </si>
  <si>
    <t>Private Roof Deck
Roof Deck
Common Roof Deck
Barbecue Area
Common Garden
Common Outdoor Space
Private Outdoor Space</t>
  </si>
  <si>
    <t>&lt;a href="http://a836-acris.nyc.gov/DS/DocumentSearch/DocumentDetail?doc_id=2021032500279001" target="_blank"&gt;Verified by Public Record&lt;/a&gt;</t>
  </si>
  <si>
    <t>&lt;a href="http://a836-acris.nyc.gov/DS/DocumentSearch/DocumentDetail?doc_id=2021042600881001" target="_blank"&gt;Verified by Public Record&lt;/a&gt;</t>
  </si>
  <si>
    <t>&lt;a href="http://a836-acris.nyc.gov/DS/DocumentSearch/DocumentDetail?doc_id=2020011301287002" target="_blank"&gt;Verified by Public Record&lt;/a&gt;</t>
  </si>
  <si>
    <t>&lt;a href="http://a836-acris.nyc.gov/DS/DocumentSearch/DocumentDetail?doc_id=2020041400305001" target="_blank"&gt;Verified by Public Record&lt;/a&gt;</t>
  </si>
  <si>
    <t>&lt;a href="http://a836-acris.nyc.gov/DS/DocumentSearch/DocumentDetail?doc_id=2021011200679001" target="_blank"&gt;Verified by Public Record&lt;/a&gt;</t>
  </si>
  <si>
    <t>&lt;a href="http://a836-acris.nyc.gov/DS/DocumentSearch/DocumentDetail?doc_id=2016030900037001" target="_blank"&gt;Verified by Public Record&lt;/a&gt;</t>
  </si>
  <si>
    <t>&lt;a href="http://a836-acris.nyc.gov/DS/DocumentSearch/DocumentDetail?doc_id=2018121100870002" target="_blank"&gt;Verified by Public Record&lt;/a&gt;</t>
  </si>
  <si>
    <t>&lt;a href="http://a836-acris.nyc.gov/DS/DocumentSearch/DocumentDetail?doc_id=2016042700871002" target="_blank"&gt;Verified by Public Record&lt;/a&gt;</t>
  </si>
  <si>
    <t>&lt;a href="http://a836-acris.nyc.gov/DS/DocumentSearch/DocumentDetail?doc_id=2016053100071001" target="_blank"&gt;Verified by Public Record&lt;/a&gt;</t>
  </si>
  <si>
    <t>&lt;a href="http://a836-acris.nyc.gov/DS/DocumentSearch/DocumentDetail?doc_id=2016080100580001" target="_blank"&gt;Verified by Public Record&lt;/a&gt;</t>
  </si>
  <si>
    <t>&lt;a href="http://a836-acris.nyc.gov/DS/DocumentSearch/DocumentDetail?doc_id=2019122300298001" target="_blank"&gt;Verified by Public Record&lt;/a&gt;</t>
  </si>
  <si>
    <t>Private Wrap Around Terrace
Roof Deck
Common Roof Deck
Barbecue Area
Common Garden
Common Outdoor Space
Private Outdoor Space</t>
  </si>
  <si>
    <t>&lt;a href="http://a836-acris.nyc.gov/DS/DocumentSearch/DocumentDetail?doc_id=2018070500808006" target="_blank"&gt;Verified by Public Record&lt;/a&gt;</t>
  </si>
  <si>
    <t>&lt;a href="http://a836-acris.nyc.gov/DS/DocumentSearch/DocumentDetail?doc_id=2016022300672001" target="_blank"&gt;Verified by Public Record&lt;/a&gt;</t>
  </si>
  <si>
    <t>Deck
Roof Deck
Common Roof Deck
Barbecue Area</t>
  </si>
  <si>
    <t>&lt;a href="http://a836-acris.nyc.gov/DS/DocumentSearch/DocumentDetail?doc_id=2016030901168010" target="_blank"&gt;Verified by Public Record&lt;/a&gt;</t>
  </si>
  <si>
    <t>&lt;a href="http://a836-acris.nyc.gov/DS/DocumentSearch/DocumentDetail?doc_id=2016031400191001" target="_blank"&gt;Verified by Public Record&lt;/a&gt;</t>
  </si>
  <si>
    <t>&lt;a href="http://a836-acris.nyc.gov/DS/DocumentSearch/DocumentDetail?doc_id=2016041300921001" target="_blank"&gt;Verified by Public Record&lt;/a&gt;</t>
  </si>
  <si>
    <t>&lt;a href="http://a836-acris.nyc.gov/DS/DocumentSearch/DocumentDetail?doc_id=2016040501314001" target="_blank"&gt;Verified by Public Record&lt;/a&gt;</t>
  </si>
  <si>
    <t>&lt;a href="http://a836-acris.nyc.gov/DS/DocumentSearch/DocumentDetail?doc_id=2016031400317003" target="_blank"&gt;Verified by Public Record&lt;/a&gt;</t>
  </si>
  <si>
    <t>&lt;a href="http://a836-acris.nyc.gov/DS/DocumentSearch/DocumentDetail?doc_id=2016031700056001" target="_blank"&gt;Verified by Public Record&lt;/a&gt;</t>
  </si>
  <si>
    <t>&lt;a href="http://a836-acris.nyc.gov/DS/DocumentSearch/DocumentDetail?doc_id=2016040600069001" target="_blank"&gt;Verified by Public Record&lt;/a&gt;</t>
  </si>
  <si>
    <t>&lt;a href="http://a836-acris.nyc.gov/DS/DocumentSearch/DocumentDetail?doc_id=2018040300448001" target="_blank"&gt;Verified by Public Record&lt;/a&gt;</t>
  </si>
  <si>
    <t>&lt;a href="http://a836-acris.nyc.gov/DS/DocumentSearch/DocumentDetail?doc_id=2021070201394003" target="_blank"&gt;Verified by Public Record&lt;/a&gt;</t>
  </si>
  <si>
    <t>&lt;a href="http://a836-acris.nyc.gov/DS/DocumentSearch/DocumentDetail?doc_id=2016082200261001" target="_blank"&gt;Verified by Public Record&lt;/a&gt;</t>
  </si>
  <si>
    <t>&lt;a href="http://a836-acris.nyc.gov/DS/DocumentSearch/DocumentDetail?doc_id=2016042200217001" target="_blank"&gt;Verified by Public Record&lt;/a&gt;</t>
  </si>
  <si>
    <t>&lt;a href="http://a836-acris.nyc.gov/DS/DocumentSearch/DocumentDetail?doc_id=2016062401789001" target="_blank"&gt;Verified by Public Record&lt;/a&gt;</t>
  </si>
  <si>
    <t>&lt;a href="http://a836-acris.nyc.gov/DS/DocumentSearch/DocumentDetail?doc_id=2016062100311001" target="_blank"&gt;Verified by Public Record&lt;/a&gt;</t>
  </si>
  <si>
    <t>&lt;a href="http://a836-acris.nyc.gov/DS/DocumentSearch/DocumentDetail?doc_id=2016052400252001" target="_blank"&gt;Verified by Public Record&lt;/a&gt;</t>
  </si>
  <si>
    <t>&lt;a href="http://a836-acris.nyc.gov/DS/DocumentSearch/DocumentDetail?doc_id=2016050400887001" target="_blank"&gt;Verified by Public Record&lt;/a&gt;</t>
  </si>
  <si>
    <t>&lt;a href="http://a836-acris.nyc.gov/DS/DocumentSearch/DocumentDetail?doc_id=2017012701275001" target="_blank"&gt;Verified by Public Record&lt;/a&gt;</t>
  </si>
  <si>
    <t>&lt;a href="http://a836-acris.nyc.gov/DS/DocumentSearch/DocumentDetail?doc_id=2016072700026001" target="_blank"&gt;Verified by Public Record&lt;/a&gt;</t>
  </si>
  <si>
    <t>&lt;a href="http://a836-acris.nyc.gov/DS/DocumentSearch/DocumentDetail?doc_id=2021041400356004" target="_blank"&gt;Verified by Public Record&lt;/a&gt;</t>
  </si>
  <si>
    <t>&lt;a href="http://a836-acris.nyc.gov/DS/DocumentSearch/DocumentDetail?doc_id=2017011201619001" target="_blank"&gt;Verified by Public Record&lt;/a&gt;</t>
  </si>
  <si>
    <t>&lt;a href="http://a836-acris.nyc.gov/DS/DocumentSearch/DocumentDetail?doc_id=2019092400857003" target="_blank"&gt;Verified by Public Record&lt;/a&gt;</t>
  </si>
  <si>
    <t>&lt;a href="http://a836-acris.nyc.gov/DS/DocumentSearch/DocumentDetail?doc_id=2016062801064001" target="_blank"&gt;Verified by Public Record&lt;/a&gt;</t>
  </si>
  <si>
    <t>Balcony
Private Terrace
Common Garden
Common Outdoor Space
Private Outdoor Space</t>
  </si>
  <si>
    <t>&lt;a href="http://a836-acris.nyc.gov/DS/DocumentSearch/DocumentDetail?doc_id=2016072500057001" target="_blank"&gt;Verified by Public Record&lt;/a&gt;</t>
  </si>
  <si>
    <t>&lt;a href="http://a836-acris.nyc.gov/DS/DocumentSearch/DocumentDetail?doc_id=2016061701942001" target="_blank"&gt;Verified by Public Record&lt;/a&gt;</t>
  </si>
  <si>
    <t>&lt;a href="http://a836-acris.nyc.gov/DS/DocumentSearch/DocumentDetail?doc_id=2016080400313001" target="_blank"&gt;Verified by Public Record&lt;/a&gt;</t>
  </si>
  <si>
    <t>&lt;a href="http://a836-acris.nyc.gov/DS/DocumentSearch/DocumentDetail?doc_id=2016080900015001" target="_blank"&gt;Verified by Public Record&lt;/a&gt;</t>
  </si>
  <si>
    <t>&lt;a href="http://a836-acris.nyc.gov/DS/DocumentSearch/DocumentDetail?doc_id=2015073101273001" target="_blank"&gt;Verified by Public Record&lt;/a&gt;</t>
  </si>
  <si>
    <t>Private Terrace
Deck
Roof Deck
Common Roof Deck
Barbecue Area</t>
  </si>
  <si>
    <t>&lt;a href="http://a836-acris.nyc.gov/DS/DocumentSearch/DocumentDetail?doc_id=2021021701020003" target="_blank"&gt;Verified by Public Record&lt;/a&gt;</t>
  </si>
  <si>
    <t>Private Terrace
Private Roof Deck
Deck
Common Roof Deck
Private Outdoor Space</t>
  </si>
  <si>
    <t>Private Terrace
Roof Deck
Common Roof Deck</t>
  </si>
  <si>
    <t>&lt;a href="http://a836-acris.nyc.gov/DS/DocumentSearch/DocumentDetail?doc_id=2016040601010001" target="_blank"&gt;Verified by Public Record&lt;/a&gt;</t>
  </si>
  <si>
    <t>&lt;a href="http://a836-acris.nyc.gov/DS/DocumentSearch/DocumentDetail?doc_id=2016033000940001" target="_blank"&gt;Verified by Public Record&lt;/a&gt;</t>
  </si>
  <si>
    <t>&lt;a href="http://a836-acris.nyc.gov/DS/DocumentSearch/DocumentDetail?doc_id=2016071400677001" target="_blank"&gt;Verified by Public Record&lt;/a&gt;</t>
  </si>
  <si>
    <t>&lt;a href="http://a836-acris.nyc.gov/DS/DocumentSearch/DocumentDetail?doc_id=2016041000055010" target="_blank"&gt;Verified by Public Record&lt;/a&gt;</t>
  </si>
  <si>
    <t>&lt;a href="http://a836-acris.nyc.gov/DS/DocumentSearch/DocumentDetail?doc_id=2016052000136001" target="_blank"&gt;Verified by Public Record&lt;/a&gt;</t>
  </si>
  <si>
    <t>&lt;a href="http://a836-acris.nyc.gov/DS/DocumentSearch/DocumentDetail?doc_id=2017041200454001" target="_blank"&gt;Verified by Public Record&lt;/a&gt;</t>
  </si>
  <si>
    <t>&lt;a href="http://a836-acris.nyc.gov/DS/DocumentSearch/DocumentDetail?doc_id=2018032000758001" target="_blank"&gt;Verified by Public Record&lt;/a&gt;</t>
  </si>
  <si>
    <t>&lt;a href="http://a836-acris.nyc.gov/DS/DocumentSearch/DocumentDetail?doc_id=2016041900146001" target="_blank"&gt;Verified by Public Record&lt;/a&gt;</t>
  </si>
  <si>
    <t>&lt;a href="http://a836-acris.nyc.gov/DS/DocumentSearch/DocumentDetail?doc_id=2016041901161002" target="_blank"&gt;Verified by Public Record&lt;/a&gt;</t>
  </si>
  <si>
    <t>&lt;a href="http://a836-acris.nyc.gov/DS/DocumentSearch/DocumentDetail?doc_id=2016041300488001" target="_blank"&gt;Verified by Public Record&lt;/a&gt;</t>
  </si>
  <si>
    <t>&lt;a href="http://a836-acris.nyc.gov/DS/DocumentSearch/DocumentDetail?doc_id=2020122900990001" target="_blank"&gt;Verified by Public Record&lt;/a&gt;</t>
  </si>
  <si>
    <t>&lt;a href="http://a836-acris.nyc.gov/DS/DocumentSearch/DocumentDetail?doc_id=2016040700016001" target="_blank"&gt;Verified by Public Record&lt;/a&gt;</t>
  </si>
  <si>
    <t>&lt;a href="http://a836-acris.nyc.gov/DS/DocumentSearch/DocumentDetail?doc_id=2016051400051001" target="_blank"&gt;Verified by Public Record&lt;/a&gt;</t>
  </si>
  <si>
    <t>&lt;a href="http://a836-acris.nyc.gov/DS/DocumentSearch/DocumentDetail?doc_id=2016050500100001" target="_blank"&gt;Verified by Public Record&lt;/a&gt;</t>
  </si>
  <si>
    <t>&lt;a href="http://a836-acris.nyc.gov/DS/DocumentSearch/DocumentDetail?doc_id=2018031200468003" target="_blank"&gt;Verified by Public Record&lt;/a&gt;</t>
  </si>
  <si>
    <t>&lt;a href="http://a836-acris.nyc.gov/DS/DocumentSearch/DocumentDetail?doc_id=2017063001125003" target="_blank"&gt;Verified by Public Record&lt;/a&gt;</t>
  </si>
  <si>
    <t>&lt;a href="http://a836-acris.nyc.gov/DS/DocumentSearch/DocumentDetail?doc_id=2016032900801001" target="_blank"&gt;Verified by Public Record&lt;/a&gt;</t>
  </si>
  <si>
    <t>&lt;a href="http://a836-acris.nyc.gov/DS/DocumentSearch/DocumentDetail?doc_id=2021012701218003" target="_blank"&gt;Verified by Public Record&lt;/a&gt;</t>
  </si>
  <si>
    <t>Private Terrace
Deck
Roof Deck
Common Roof Deck</t>
  </si>
  <si>
    <t>&lt;a href="http://a836-acris.nyc.gov/DS/DocumentSearch/DocumentDetail?doc_id=2016121200546001" target="_blank"&gt;Verified by Public Record&lt;/a&gt;</t>
  </si>
  <si>
    <t>&lt;a href="http://a836-acris.nyc.gov/DS/DocumentSearch/DocumentDetail?doc_id=2016032800866001" target="_blank"&gt;Verified by Public Record&lt;/a&gt;</t>
  </si>
  <si>
    <t>&lt;a href="http://a836-acris.nyc.gov/DS/DocumentSearch/DocumentDetail?doc_id=2016030700176007" target="_blank"&gt;Verified by Public Record&lt;/a&gt;</t>
  </si>
  <si>
    <t>Private Terrace
Roof Deck
Common Garden
Common Outdoor Space</t>
  </si>
  <si>
    <t>&lt;a href="http://a836-acris.nyc.gov/DS/DocumentSearch/DocumentDetail?doc_id=2016053100467001" target="_blank"&gt;Verified by Public Record&lt;/a&gt;</t>
  </si>
  <si>
    <t>Mixed Use/Condo</t>
  </si>
  <si>
    <t>&lt;a href="http://a836-acris.nyc.gov/DS/DocumentSearch/DocumentDetail?doc_id=2017012600149002" target="_blank"&gt;Verified by Public Record&lt;/a&gt;</t>
  </si>
  <si>
    <t>&lt;a href="http://a836-acris.nyc.gov/DS/DocumentSearch/DocumentDetail?doc_id=2016052300226010" target="_blank"&gt;Verified by Public Record&lt;/a&gt;</t>
  </si>
  <si>
    <t>&lt;a href="http://a836-acris.nyc.gov/DS/DocumentSearch/DocumentDetail?doc_id=2016050501292001" target="_blank"&gt;Verified by Public Record&lt;/a&gt;</t>
  </si>
  <si>
    <t>&lt;a href="http://a836-acris.nyc.gov/DS/DocumentSearch/DocumentDetail?doc_id=2016082900537001" target="_blank"&gt;Verified by Public Record&lt;/a&gt;</t>
  </si>
  <si>
    <t>&lt;a href="http://a836-acris.nyc.gov/DS/DocumentSearch/DocumentDetail?doc_id=2017022400906001" target="_blank"&gt;Verified by Public Record&lt;/a&gt;</t>
  </si>
  <si>
    <t>Private Terrace
Private Wrap Around Terrace
Common Garden
Common Outdoor Space</t>
  </si>
  <si>
    <t>&lt;a href="http://a836-acris.nyc.gov/DS/DocumentSearch/DocumentDetail?doc_id=2016062200721001" target="_blank"&gt;Verified by Public Record&lt;/a&gt;</t>
  </si>
  <si>
    <t>&lt;a href="http://a836-acris.nyc.gov/DS/DocumentSearch/DocumentDetail?doc_id=2019071200664001" target="_blank"&gt;Verified by Public Record&lt;/a&gt;</t>
  </si>
  <si>
    <t>Doorman, Full-Time Doorman, Part-Time Doorman, Concierge</t>
  </si>
  <si>
    <t>&lt;a href="http://a836-acris.nyc.gov/DS/DocumentSearch/DocumentDetail?doc_id=2019090600156002" target="_blank"&gt;Verified by Public Record&lt;/a&gt;</t>
  </si>
  <si>
    <t>Balcony
Private Outdoor Space</t>
  </si>
  <si>
    <t>&lt;a href="http://a836-acris.nyc.gov/DS/DocumentSearch/DocumentDetail?doc_id=2018081000409002" target="_blank"&gt;Public Record Only&lt;/a&gt;</t>
  </si>
  <si>
    <t>&lt;a href="http://a836-acris.nyc.gov/DS/DocumentSearch/DocumentDetail?doc_id=2020041600387002" target="_blank"&gt;Verified by Public Record&lt;/a&gt;</t>
  </si>
  <si>
    <t>&lt;a href="http://a836-acris.nyc.gov/DS/DocumentSearch/DocumentDetail?doc_id=2015122800787001" target="_blank"&gt;Verified by Public Record&lt;/a&gt;</t>
  </si>
  <si>
    <t>&lt;a href="http://a836-acris.nyc.gov/DS/DocumentSearch/DocumentDetail?doc_id=2021032100021002" target="_blank"&gt;Verified by Public Record&lt;/a&gt;</t>
  </si>
  <si>
    <t>Doorman, Full-Time Doorman, Concierge, Full-Service Building</t>
  </si>
  <si>
    <t>&lt;a href="http://a836-acris.nyc.gov/DS/DocumentSearch/DocumentDetail?doc_id=2016012601341001" target="_blank"&gt;Public Record Only&lt;/a&gt;</t>
  </si>
  <si>
    <t>Private Roof Deck
Common Outdoor Space
Private Outdoor Space</t>
  </si>
  <si>
    <t>&lt;a href="http://a836-acris.nyc.gov/DS/DocumentSearch/DocumentDetail?doc_id=2016011900444001" target="_blank"&gt;Verified by Public Record&lt;/a&gt;</t>
  </si>
  <si>
    <t>&lt;a href="http://a836-acris.nyc.gov/DS/DocumentSearch/DocumentDetail?doc_id=2016011100883003" target="_blank"&gt;Verified by Public Record&lt;/a&gt;</t>
  </si>
  <si>
    <t>&lt;a href="http://a836-acris.nyc.gov/DS/DocumentSearch/DocumentDetail?doc_id=2015010200633001" target="_blank"&gt;Verified by Public Record&lt;/a&gt;</t>
  </si>
  <si>
    <t>&lt;a href="http://a836-acris.nyc.gov/DS/DocumentSearch/DocumentDetail?doc_id=2019070900432002" target="_blank"&gt;Public Record Only&lt;/a&gt;</t>
  </si>
  <si>
    <t>&lt;a href="http://a836-acris.nyc.gov/DS/DocumentSearch/DocumentDetail?doc_id=2016012200365001" target="_blank"&gt;Verified by Public Record&lt;/a&gt;</t>
  </si>
  <si>
    <t>&lt;a href="http://a836-acris.nyc.gov/DS/DocumentSearch/DocumentDetail?doc_id=2016010700075009" target="_blank"&gt;Verified by Public Record&lt;/a&gt;</t>
  </si>
  <si>
    <t>&lt;a href="http://a836-acris.nyc.gov/DS/DocumentSearch/DocumentDetail?doc_id=2020051100941001" target="_blank"&gt;Public Record Only&lt;/a&gt;</t>
  </si>
  <si>
    <t>&lt;a href="http://a836-acris.nyc.gov/DS/DocumentSearch/DocumentDetail?doc_id=2019060401098001" target="_blank"&gt;Public Record Only&lt;/a&gt;</t>
  </si>
  <si>
    <t>Private Terrace
Roof Deck
Common Garden
Common Outdoor Space
Private Outdoor Space</t>
  </si>
  <si>
    <t>&lt;a href="http://a836-acris.nyc.gov/DS/DocumentSearch/DocumentDetail?doc_id=2020012301037001" target="_blank"&gt;Verified by Public Record&lt;/a&gt;</t>
  </si>
  <si>
    <t>&lt;a href="http://a836-acris.nyc.gov/DS/DocumentSearch/DocumentDetail?doc_id=2015123100519003" target="_blank"&gt;Verified by Public Record&lt;/a&gt;</t>
  </si>
  <si>
    <t>&lt;a href="http://a836-acris.nyc.gov/DS/DocumentSearch/DocumentDetail?doc_id=2016012700140001" target="_blank"&gt;Public Record Only&lt;/a&gt;</t>
  </si>
  <si>
    <t>&lt;a href="http://a836-acris.nyc.gov/DS/DocumentSearch/DocumentDetail?doc_id=2018040200613001" target="_blank"&gt;Public Record Only&lt;/a&gt;</t>
  </si>
  <si>
    <t>&lt;a href="http://a836-acris.nyc.gov/DS/DocumentSearch/DocumentDetail?doc_id=2020021201094001" target="_blank"&gt;Public Record Only&lt;/a&gt;</t>
  </si>
  <si>
    <t>&lt;a href="http://a836-acris.nyc.gov/DS/DocumentSearch/DocumentDetail?doc_id=2018032100038002" target="_blank"&gt;Public Record Only&lt;/a&gt;</t>
  </si>
  <si>
    <t>&lt;a href="http://a836-acris.nyc.gov/DS/DocumentSearch/DocumentDetail?doc_id=2019100700574001" target="_blank"&gt;Public Record Only&lt;/a&gt;</t>
  </si>
  <si>
    <t>&lt;a href="http://a836-acris.nyc.gov/DS/DocumentSearch/DocumentDetail?doc_id=2016121901006002" target="_blank"&gt;Verified by Public Record&lt;/a&gt;</t>
  </si>
  <si>
    <t>Private Roof Deck
Common Garden
Common Outdoor Space
Private Outdoor Space</t>
  </si>
  <si>
    <t>&lt;a href="http://a836-acris.nyc.gov/DS/DocumentSearch/DocumentDetail?doc_id=2016012100182001" target="_blank"&gt;Verified by Public Record&lt;/a&gt;</t>
  </si>
  <si>
    <t>&lt;a href="http://a836-acris.nyc.gov/DS/DocumentSearch/DocumentDetail?doc_id=2016012500711001" target="_blank"&gt;Verified by Public Record&lt;/a&gt;</t>
  </si>
  <si>
    <t>&lt;a href="http://a836-acris.nyc.gov/DS/DocumentSearch/DocumentDetail?doc_id=2014091900576001" target="_blank"&gt;Verified by Public Record&lt;/a&gt;</t>
  </si>
  <si>
    <t>&lt;a href="http://a836-acris.nyc.gov/DS/DocumentSearch/DocumentDetail?doc_id=2014120200969001" target="_blank"&gt;Verified by Public Record&lt;/a&gt;</t>
  </si>
  <si>
    <t>&lt;a href="http://a836-acris.nyc.gov/DS/DocumentSearch/DocumentDetail?doc_id=2014112600179001" target="_blank"&gt;Verified by Public Record&lt;/a&gt;</t>
  </si>
  <si>
    <t>&lt;a href="http://a836-acris.nyc.gov/DS/DocumentSearch/DocumentDetail?doc_id=2019070300499001" target="_blank"&gt;Public Record Only&lt;/a&gt;</t>
  </si>
  <si>
    <t>&lt;a href="http://a836-acris.nyc.gov/DS/DocumentSearch/DocumentDetail?doc_id=2014111000751004" target="_blank"&gt;Public Record Only&lt;/a&gt;</t>
  </si>
  <si>
    <t>&lt;a href="http://a836-acris.nyc.gov/DS/DocumentSearch/DocumentDetail?doc_id=2020082500478002" target="_blank"&gt;Public Record Only&lt;/a&gt;</t>
  </si>
  <si>
    <t>&lt;a href="http://a836-acris.nyc.gov/DS/DocumentSearch/DocumentDetail?doc_id=2018100201035001" target="_blank"&gt;Public Record Only&lt;/a&gt;</t>
  </si>
  <si>
    <t>&lt;a href="http://a836-acris.nyc.gov/DS/DocumentSearch/DocumentDetail?doc_id=2015010500606001" target="_blank"&gt;Verified by Public Record&lt;/a&gt;</t>
  </si>
  <si>
    <t>&lt;a href="http://a836-acris.nyc.gov/DS/DocumentSearch/DocumentDetail?doc_id=2016041301395001" target="_blank"&gt;Public Record Only&lt;/a&gt;</t>
  </si>
  <si>
    <t>&lt;a href="http://a836-acris.nyc.gov/DS/DocumentSearch/DocumentDetail?doc_id=2021072500028005" target="_blank"&gt;Public Record Only&lt;/a&gt;</t>
  </si>
  <si>
    <t>&lt;a href="http://a836-acris.nyc.gov/DS/DocumentSearch/DocumentDetail?doc_id=2014100900546001" target="_blank"&gt;Public Record Only&lt;/a&gt;</t>
  </si>
  <si>
    <t>&lt;a href="http://a836-acris.nyc.gov/DS/DocumentSearch/DocumentDetail?doc_id=2014082601070002" target="_blank"&gt;Public Record Only&lt;/a&gt;</t>
  </si>
  <si>
    <t>&lt;a href="http://a836-acris.nyc.gov/DS/DocumentSearch/DocumentDetail?doc_id=2014091000424002" target="_blank"&gt;Public Record Only&lt;/a&gt;</t>
  </si>
  <si>
    <t>&lt;a href="http://a836-acris.nyc.gov/DS/DocumentSearch/DocumentDetail?doc_id=2014092600022001" target="_blank"&gt;Public Record Only&lt;/a&gt;</t>
  </si>
  <si>
    <t>&lt;a href="http://a836-acris.nyc.gov/DS/DocumentSearch/DocumentDetail?doc_id=2014110600082001" target="_blank"&gt;Public Record Only&lt;/a&gt;</t>
  </si>
  <si>
    <t>&lt;a href="http://a836-acris.nyc.gov/DS/DocumentSearch/DocumentDetail?doc_id=2014120100114001" target="_blank"&gt;Public Record Only&lt;/a&gt;</t>
  </si>
  <si>
    <t>&lt;a href="http://a836-acris.nyc.gov/DS/DocumentSearch/DocumentDetail?doc_id=2014092900831001" target="_blank"&gt;Public Record Only&lt;/a&gt;</t>
  </si>
  <si>
    <t>&lt;a href="http://a836-acris.nyc.gov/DS/DocumentSearch/DocumentDetail?doc_id=2015021300264001" target="_blank"&gt;Verified by Public Record&lt;/a&gt;</t>
  </si>
  <si>
    <t>&lt;a href="http://a836-acris.nyc.gov/DS/DocumentSearch/DocumentDetail?doc_id=2014121500272001" target="_blank"&gt;Public Record Only&lt;/a&gt;</t>
  </si>
  <si>
    <t>&lt;a href="http://a836-acris.nyc.gov/DS/DocumentSearch/DocumentDetail?doc_id=2014122201019001" target="_blank"&gt;Public Record Only&lt;/a&gt;</t>
  </si>
  <si>
    <t>&lt;a href="http://a836-acris.nyc.gov/DS/DocumentSearch/DocumentDetail?doc_id=2014092300476001" target="_blank"&gt;Public Record Only&lt;/a&gt;</t>
  </si>
  <si>
    <t>&lt;a href="http://a836-acris.nyc.gov/DS/DocumentSearch/DocumentDetail?doc_id=2017101000145001" target="_blank"&gt;Public Record Only&lt;/a&gt;</t>
  </si>
  <si>
    <t>&lt;a href="http://a836-acris.nyc.gov/DS/DocumentSearch/DocumentDetail?doc_id=2014100300340002" target="_blank"&gt;Public Record Only&lt;/a&gt;</t>
  </si>
  <si>
    <t>&lt;a href="http://a836-acris.nyc.gov/DS/DocumentSearch/DocumentDetail?doc_id=2014102201546001" target="_blank"&gt;Public Record Only&lt;/a&gt;</t>
  </si>
  <si>
    <t>&lt;a href="http://a836-acris.nyc.gov/DS/DocumentSearch/DocumentDetail?doc_id=2014102000850001" target="_blank"&gt;Public Record Only&lt;/a&gt;</t>
  </si>
  <si>
    <t>&lt;a href="http://a836-acris.nyc.gov/DS/DocumentSearch/DocumentDetail?doc_id=2014112800402001" target="_blank"&gt;Public Record Only&lt;/a&gt;</t>
  </si>
  <si>
    <t>&lt;a href="http://a836-acris.nyc.gov/DS/DocumentSearch/DocumentDetail?doc_id=2014121600124003" target="_blank"&gt;Public Record Only&lt;/a&gt;</t>
  </si>
  <si>
    <t>&lt;a href="http://a836-acris.nyc.gov/DS/DocumentSearch/DocumentDetail?doc_id=2014123000456001" target="_blank"&gt;Public Record Only&lt;/a&gt;</t>
  </si>
  <si>
    <t>&lt;a href="http://a836-acris.nyc.gov/DS/DocumentSearch/DocumentDetail?doc_id=2015012900159001" target="_blank"&gt;Public Record Only&lt;/a&gt;</t>
  </si>
  <si>
    <t>&lt;a href="http://a836-acris.nyc.gov/DS/DocumentSearch/DocumentDetail?doc_id=2014110300189001" target="_blank"&gt;Public Record Only&lt;/a&gt;</t>
  </si>
  <si>
    <t>&lt;a href="http://a836-acris.nyc.gov/DS/DocumentSearch/DocumentDetail?doc_id=2014112400535001" target="_blank"&gt;Public Record Only&lt;/a&gt;</t>
  </si>
  <si>
    <t>&lt;a href="http://a836-acris.nyc.gov/DS/DocumentSearch/DocumentDetail?doc_id=2014112500671003" target="_blank"&gt;Public Record Only&lt;/a&gt;</t>
  </si>
  <si>
    <t>&lt;a href="http://a836-acris.nyc.gov/DS/DocumentSearch/DocumentDetail?doc_id=2014111800920002" target="_blank"&gt;Public Record Only&lt;/a&gt;</t>
  </si>
  <si>
    <t>&lt;a href="http://a836-acris.nyc.gov/DS/DocumentSearch/DocumentDetail?doc_id=2015072700810001" target="_blank"&gt;Public Record Only&lt;/a&gt;</t>
  </si>
  <si>
    <t>&lt;a href="http://a836-acris.nyc.gov/DS/DocumentSearch/DocumentDetail?doc_id=2014120501101001" target="_blank"&gt;Public Record Only&lt;/a&gt;</t>
  </si>
  <si>
    <t>&lt;a href="http://a836-acris.nyc.gov/DS/DocumentSearch/DocumentDetail?doc_id=2015051800204001" target="_blank"&gt;Verified by Public Record&lt;/a&gt;</t>
  </si>
  <si>
    <t>&lt;a href="http://a836-acris.nyc.gov/DS/DocumentSearch/DocumentDetail?doc_id=2014121900761002" target="_blank"&gt;Public Record Only&lt;/a&gt;</t>
  </si>
  <si>
    <t>&lt;a href="http://a836-acris.nyc.gov/DS/DocumentSearch/DocumentDetail?doc_id=2016111100112002" target="_blank"&gt;Public Record Only&lt;/a&gt;</t>
  </si>
  <si>
    <t>&lt;a href="http://a836-acris.nyc.gov/DS/DocumentSearch/DocumentDetail?doc_id=2014123000983001" target="_blank"&gt;Public Record Only&lt;/a&gt;</t>
  </si>
  <si>
    <t>&lt;a href="http://a836-acris.nyc.gov/DS/DocumentSearch/DocumentDetail?doc_id=2014102300566001" target="_blank"&gt;Public Record Only&lt;/a&gt;</t>
  </si>
  <si>
    <t>&lt;a href="http://a836-acris.nyc.gov/DS/DocumentSearch/DocumentDetail?doc_id=2019012800306003" target="_blank"&gt;Verified by Public Record&lt;/a&gt;</t>
  </si>
  <si>
    <t>&lt;a href="http://a836-acris.nyc.gov/DS/DocumentSearch/DocumentDetail?doc_id=2017031501265002" target="_blank"&gt;Public Record Only&lt;/a&gt;</t>
  </si>
  <si>
    <t>&lt;a href="http://a836-acris.nyc.gov/DS/DocumentSearch/DocumentDetail?doc_id=2016080201344001" target="_blank"&gt;Public Record Only&lt;/a&gt;</t>
  </si>
  <si>
    <t>&lt;a href="http://a836-acris.nyc.gov/DS/DocumentSearch/DocumentDetail?doc_id=2015012300813001" target="_blank"&gt;Public Record Only&lt;/a&gt;</t>
  </si>
  <si>
    <t>&lt;a href="http://a836-acris.nyc.gov/DS/DocumentSearch/DocumentDetail?doc_id=2016121200810001" target="_blank"&gt;Public Record Only&lt;/a&gt;</t>
  </si>
  <si>
    <t>&lt;a href="http://a836-acris.nyc.gov/DS/DocumentSearch/DocumentDetail?doc_id=2016092100104001" target="_blank"&gt;Public Record Only&lt;/a&gt;</t>
  </si>
  <si>
    <t>&lt;a href="http://a836-acris.nyc.gov/DS/DocumentSearch/DocumentDetail?doc_id=2016100501119001" target="_blank"&gt;Public Record Only&lt;/a&gt;</t>
  </si>
  <si>
    <t>&lt;a href="http://a836-acris.nyc.gov/DS/DocumentSearch/DocumentDetail?doc_id=2016030801023001" target="_blank"&gt;Public Record Only&lt;/a&gt;</t>
  </si>
  <si>
    <t>&lt;a href="http://a836-acris.nyc.gov/DS/DocumentSearch/DocumentDetail?doc_id=2016051101133001" target="_blank"&gt;Public Record Only&lt;/a&gt;</t>
  </si>
  <si>
    <t>&lt;a href="http://a836-acris.nyc.gov/DS/DocumentSearch/DocumentDetail?doc_id=2016062701890001" target="_blank"&gt;Public Record Only&lt;/a&gt;</t>
  </si>
  <si>
    <t>&lt;a href="http://a836-acris.nyc.gov/DS/DocumentSearch/DocumentDetail?doc_id=2016021601891002" target="_blank"&gt;Public Record Only&lt;/a&gt;</t>
  </si>
  <si>
    <t>&lt;a href="http://a836-acris.nyc.gov/DS/DocumentSearch/DocumentDetail?doc_id=2016090900751002" target="_blank"&gt;Public Record Only&lt;/a&gt;</t>
  </si>
  <si>
    <t>&lt;a href="http://a836-acris.nyc.gov/DS/DocumentSearch/DocumentDetail?doc_id=2016062200370002" target="_blank"&gt;Public Record Only&lt;/a&gt;</t>
  </si>
  <si>
    <t>&lt;a href="http://a836-acris.nyc.gov/DS/DocumentSearch/DocumentDetail?doc_id=2016070100174001" target="_blank"&gt;Public Record Only&lt;/a&gt;</t>
  </si>
  <si>
    <t>&lt;a href="http://a836-acris.nyc.gov/DS/DocumentSearch/DocumentDetail?doc_id=2015122200021001" target="_blank"&gt;Public Record Only&lt;/a&gt;</t>
  </si>
  <si>
    <t>&lt;a href="http://a836-acris.nyc.gov/DS/DocumentSearch/DocumentDetail?doc_id=2015122200013001" target="_blank"&gt;Public Record Only&lt;/a&gt;</t>
  </si>
  <si>
    <t>&lt;a href="http://a836-acris.nyc.gov/DS/DocumentSearch/DocumentDetail?doc_id=2014120900275001" target="_blank"&gt;Public Record Only&lt;/a&gt;</t>
  </si>
  <si>
    <t>&lt;a href="http://a836-acris.nyc.gov/DS/DocumentSearch/DocumentDetail?doc_id=2019020500176001" target="_blank"&gt;Verified by Public Record&lt;/a&gt;</t>
  </si>
  <si>
    <t>&lt;a href="http://a836-acris.nyc.gov/DS/DocumentSearch/DocumentDetail?doc_id=2015032600893001" target="_blank"&gt;Verified by Public Record&lt;/a&gt;</t>
  </si>
  <si>
    <t>&lt;a href="http://a836-acris.nyc.gov/DS/DocumentSearch/DocumentDetail?doc_id=2015111800242003" target="_blank"&gt;Public Record Only&lt;/a&gt;</t>
  </si>
  <si>
    <t>&lt;a href="http://a836-acris.nyc.gov/DS/DocumentSearch/DocumentDetail?doc_id=2015110500987001" target="_blank"&gt;Public Record Only&lt;/a&gt;</t>
  </si>
  <si>
    <t>&lt;a href="http://a836-acris.nyc.gov/DS/DocumentSearch/DocumentDetail?doc_id=2015110601182001" target="_blank"&gt;Public Record Only&lt;/a&gt;</t>
  </si>
  <si>
    <t>&lt;a href="http://a836-acris.nyc.gov/DS/DocumentSearch/DocumentDetail?doc_id=2021070800060003" target="_blank"&gt;Public Record Only&lt;/a&gt;</t>
  </si>
  <si>
    <t>&lt;a href="http://a836-acris.nyc.gov/DS/DocumentSearch/DocumentDetail?doc_id=2015011200396002" target="_blank"&gt;Public Record Only&lt;/a&gt;</t>
  </si>
  <si>
    <t>&lt;a href="http://a836-acris.nyc.gov/DS/DocumentSearch/DocumentDetail?doc_id=2015011601055001" target="_blank"&gt;Public Record Only&lt;/a&gt;</t>
  </si>
  <si>
    <t>&lt;a href="http://a836-acris.nyc.gov/DS/DocumentSearch/DocumentDetail?doc_id=2016052400327004" target="_blank"&gt;Public Record Only&lt;/a&gt;</t>
  </si>
  <si>
    <t>&lt;a href="http://a836-acris.nyc.gov/DS/DocumentSearch/DocumentDetail?doc_id=2016122800478001" target="_blank"&gt;Public Record Only&lt;/a&gt;</t>
  </si>
  <si>
    <t>&lt;a href="http://a836-acris.nyc.gov/DS/DocumentSearch/DocumentDetail?doc_id=2017041000669001" target="_blank"&gt;Public Record Only&lt;/a&gt;</t>
  </si>
  <si>
    <t>&lt;a href="http://a836-acris.nyc.gov/DS/DocumentSearch/DocumentDetail?doc_id=2016050901299001" target="_blank"&gt;Public Record Only&lt;/a&gt;</t>
  </si>
  <si>
    <t>&lt;a href="http://a836-acris.nyc.gov/DS/DocumentSearch/DocumentDetail?doc_id=2019051600326005" target="_blank"&gt;Public Record Only&lt;/a&gt;</t>
  </si>
  <si>
    <t>&lt;a href="http://a836-acris.nyc.gov/DS/DocumentSearch/DocumentDetail?doc_id=2014100700741001" target="_blank"&gt;Public Record Only&lt;/a&gt;</t>
  </si>
  <si>
    <t>&lt;a href="http://a836-acris.nyc.gov/DS/DocumentSearch/DocumentDetail?doc_id=2014110300215001" target="_blank"&gt;Public Record Only&lt;/a&gt;</t>
  </si>
  <si>
    <t>&lt;a href="http://a836-acris.nyc.gov/DS/DocumentSearch/DocumentDetail?doc_id=2014090201290001" target="_blank"&gt;Verified by Public Record&lt;/a&gt;</t>
  </si>
  <si>
    <t>&lt;a href="http://a836-acris.nyc.gov/DS/DocumentSearch/DocumentDetail?doc_id=2014102300625001" target="_blank"&gt;Verified by Public Record&lt;/a&gt;</t>
  </si>
  <si>
    <t>&lt;a href="http://a836-acris.nyc.gov/DS/DocumentSearch/DocumentDetail?doc_id=2016050900579001" target="_blank"&gt;Public Record Only&lt;/a&gt;</t>
  </si>
  <si>
    <t>&lt;a href="http://a836-acris.nyc.gov/DS/DocumentSearch/DocumentDetail?doc_id=2015110400134003" target="_blank"&gt;Public Record Only&lt;/a&gt;</t>
  </si>
  <si>
    <t>&lt;a href="http://a836-acris.nyc.gov/DS/DocumentSearch/DocumentDetail?doc_id=2016042700852002" target="_blank"&gt;Public Record Only&lt;/a&gt;</t>
  </si>
  <si>
    <t>&lt;a href="http://a836-acris.nyc.gov/DS/DocumentSearch/DocumentDetail?doc_id=2016080501038001" target="_blank"&gt;Public Record Only&lt;/a&gt;</t>
  </si>
  <si>
    <t>&lt;a href="http://a836-acris.nyc.gov/DS/DocumentSearch/DocumentDetail?doc_id=2016061302796003" target="_blank"&gt;Public Record Only&lt;/a&gt;</t>
  </si>
  <si>
    <t>Co-op/Condo</t>
  </si>
  <si>
    <t>&lt;a href="http://a836-acris.nyc.gov/DS/DocumentSearch/DocumentDetail?doc_id=2017062701154002" target="_blank"&gt;Verified by Public Record&lt;/a&gt;</t>
  </si>
  <si>
    <t>&lt;a href="http://a836-acris.nyc.gov/DS/DocumentSearch/DocumentDetail?doc_id=2017063000711001" target="_blank"&gt;Verified by Public Record&lt;/a&gt;</t>
  </si>
  <si>
    <t>&lt;a href="http://a836-acris.nyc.gov/DS/DocumentSearch/DocumentDetail?doc_id=2016053101172001" target="_blank"&gt;Public Record Only&lt;/a&gt;</t>
  </si>
  <si>
    <t>&lt;a href="http://a836-acris.nyc.gov/DS/DocumentSearch/DocumentDetail?doc_id=2017021601088001" target="_blank"&gt;Public Record Only&lt;/a&gt;</t>
  </si>
  <si>
    <t>&lt;a href="http://a836-acris.nyc.gov/DS/DocumentSearch/DocumentDetail?doc_id=2017062000985001" target="_blank"&gt;Public Record Only&lt;/a&gt;</t>
  </si>
  <si>
    <t>&lt;a href="http://a836-acris.nyc.gov/DS/DocumentSearch/DocumentDetail?doc_id=2017010500722001" target="_blank"&gt;Public Record Only&lt;/a&gt;</t>
  </si>
  <si>
    <t>&lt;a href="http://a836-acris.nyc.gov/DS/DocumentSearch/DocumentDetail?doc_id=2017010901562001" target="_blank"&gt;Public Record Only&lt;/a&gt;</t>
  </si>
  <si>
    <t>&lt;a href="http://a836-acris.nyc.gov/DS/DocumentSearch/DocumentDetail?doc_id=2016100500610001" target="_blank"&gt;Public Record Only&lt;/a&gt;</t>
  </si>
  <si>
    <t>&lt;a href="http://a836-acris.nyc.gov/DS/DocumentSearch/DocumentDetail?doc_id=2016110100543001" target="_blank"&gt;Public Record Only&lt;/a&gt;</t>
  </si>
  <si>
    <t>&lt;a href="http://a836-acris.nyc.gov/DS/DocumentSearch/DocumentDetail?doc_id=2016032801057001" target="_blank"&gt;Public Record Only&lt;/a&gt;</t>
  </si>
  <si>
    <t>&lt;a href="http://a836-acris.nyc.gov/DS/DocumentSearch/DocumentDetail?doc_id=2016020802251001" target="_blank"&gt;Public Record Only&lt;/a&gt;</t>
  </si>
  <si>
    <t>&lt;a href="http://a836-acris.nyc.gov/DS/DocumentSearch/DocumentDetail?doc_id=2016031500102009" target="_blank"&gt;Public Record Only&lt;/a&gt;</t>
  </si>
  <si>
    <t>&lt;a href="http://a836-acris.nyc.gov/DS/DocumentSearch/DocumentDetail?doc_id=2016032800749001" target="_blank"&gt;Public Record Only&lt;/a&gt;</t>
  </si>
  <si>
    <t>&lt;a href="http://a836-acris.nyc.gov/DS/DocumentSearch/DocumentDetail?doc_id=2016050200691001" target="_blank"&gt;Public Record Only&lt;/a&gt;</t>
  </si>
  <si>
    <t>&lt;a href="http://a836-acris.nyc.gov/DS/DocumentSearch/DocumentDetail?doc_id=2016062900577001" target="_blank"&gt;Public Record Only&lt;/a&gt;</t>
  </si>
  <si>
    <t>&lt;a href="http://a836-acris.nyc.gov/DS/DocumentSearch/DocumentDetail?doc_id=2016041300709001" target="_blank"&gt;Public Record Only&lt;/a&gt;</t>
  </si>
  <si>
    <t>&lt;a href="http://a836-acris.nyc.gov/DS/DocumentSearch/DocumentDetail?doc_id=2016062401484001" target="_blank"&gt;Public Record Only&lt;/a&gt;</t>
  </si>
  <si>
    <t>&lt;a href="http://a836-acris.nyc.gov/DS/DocumentSearch/DocumentDetail?doc_id=2017042001047001" target="_blank"&gt;Public Record Only&lt;/a&gt;</t>
  </si>
  <si>
    <t>&lt;a href="http://a836-acris.nyc.gov/DS/DocumentSearch/DocumentDetail?doc_id=2016020300295001" target="_blank"&gt;Public Record Only&lt;/a&gt;</t>
  </si>
  <si>
    <t>&lt;a href="http://a836-acris.nyc.gov/DS/DocumentSearch/DocumentDetail?doc_id=2016020201178002" target="_blank"&gt;Public Record Only&lt;/a&gt;</t>
  </si>
  <si>
    <t>&lt;a href="http://a836-acris.nyc.gov/DS/DocumentSearch/DocumentDetail?doc_id=2016050300040001" target="_blank"&gt;Public Record Only&lt;/a&gt;</t>
  </si>
  <si>
    <t>&lt;a href="http://a836-acris.nyc.gov/DS/DocumentSearch/DocumentDetail?doc_id=2017060200805001" target="_blank"&gt;Public Record Only&lt;/a&gt;</t>
  </si>
  <si>
    <t>&lt;a href="http://a836-acris.nyc.gov/DS/DocumentSearch/DocumentDetail?doc_id=2014102701232002" target="_blank"&gt;Public Record Only&lt;/a&gt;</t>
  </si>
  <si>
    <t>&lt;a href="http://a836-acris.nyc.gov/DS/DocumentSearch/DocumentDetail?doc_id=2017070600410001" target="_blank"&gt;Verified by Public Record&lt;/a&gt;</t>
  </si>
  <si>
    <t>&lt;a href="http://a836-acris.nyc.gov/DS/DocumentSearch/DocumentDetail?doc_id=2014091000718001" target="_blank"&gt;Public Record Only&lt;/a&gt;</t>
  </si>
  <si>
    <t>&lt;a href="http://a836-acris.nyc.gov/DS/DocumentSearch/DocumentDetail?doc_id=2014092200116001" target="_blank"&gt;Public Record Only&lt;/a&gt;</t>
  </si>
  <si>
    <t>&lt;a href="http://a836-acris.nyc.gov/DS/DocumentSearch/DocumentDetail?doc_id=2014101501238001" target="_blank"&gt;Public Record Only&lt;/a&gt;</t>
  </si>
  <si>
    <t>&lt;a href="http://a836-acris.nyc.gov/DS/DocumentSearch/DocumentDetail?doc_id=2014100600080001" target="_blank"&gt;Public Record Only&lt;/a&gt;</t>
  </si>
  <si>
    <t>&lt;a href="http://a836-acris.nyc.gov/DS/DocumentSearch/DocumentDetail?doc_id=2014100601901001" target="_blank"&gt;Public Record Only&lt;/a&gt;</t>
  </si>
  <si>
    <t>&lt;a href="http://a836-acris.nyc.gov/DS/DocumentSearch/DocumentDetail?doc_id=2014110700581001" target="_blank"&gt;Public Record Only&lt;/a&gt;</t>
  </si>
  <si>
    <t>&lt;a href="http://a836-acris.nyc.gov/DS/DocumentSearch/DocumentDetail?doc_id=2014111100668001" target="_blank"&gt;Public Record Only&lt;/a&gt;</t>
  </si>
  <si>
    <t>&lt;a href="http://a836-acris.nyc.gov/DS/DocumentSearch/DocumentDetail?doc_id=2015012800054002" target="_blank"&gt;Public Record Only&lt;/a&gt;</t>
  </si>
  <si>
    <t>&lt;a href="http://a836-acris.nyc.gov/DS/DocumentSearch/DocumentDetail?doc_id=2014102201540001" target="_blank"&gt;Public Record Only&lt;/a&gt;</t>
  </si>
  <si>
    <t>&lt;a href="http://a836-acris.nyc.gov/DS/DocumentSearch/DocumentDetail?doc_id=2014120400511001" target="_blank"&gt;Public Record Only&lt;/a&gt;</t>
  </si>
  <si>
    <t>&lt;a href="http://a836-acris.nyc.gov/DS/DocumentSearch/DocumentDetail?doc_id=2019052400505002" target="_blank"&gt;Public Record Only&lt;/a&gt;</t>
  </si>
  <si>
    <t>&lt;a href="http://a836-acris.nyc.gov/DS/DocumentSearch/DocumentDetail?doc_id=2014091000001001" target="_blank"&gt;Public Record Only&lt;/a&gt;</t>
  </si>
  <si>
    <t>&lt;a href="http://a836-acris.nyc.gov/DS/DocumentSearch/DocumentDetail?doc_id=2016071201054001" target="_blank"&gt;Public Record Only&lt;/a&gt;</t>
  </si>
  <si>
    <t>&lt;a href="http://a836-acris.nyc.gov/DS/DocumentSearch/DocumentDetail?doc_id=2016031500859001" target="_blank"&gt;Public Record Only&lt;/a&gt;</t>
  </si>
  <si>
    <t>&lt;a href="http://a836-acris.nyc.gov/DS/DocumentSearch/DocumentDetail?doc_id=2015110600121002" target="_blank"&gt;Public Record Only&lt;/a&gt;</t>
  </si>
  <si>
    <t>&lt;a href="http://a836-acris.nyc.gov/DS/DocumentSearch/DocumentDetail?doc_id=2016081200461001" target="_blank"&gt;Public Record Only&lt;/a&gt;</t>
  </si>
  <si>
    <t>&lt;a href="http://a836-acris.nyc.gov/DS/DocumentSearch/DocumentDetail?doc_id=2017031600287001" target="_blank"&gt;Public Record Only&lt;/a&gt;</t>
  </si>
  <si>
    <t>&lt;a href="http://a836-acris.nyc.gov/DS/DocumentSearch/DocumentDetail?doc_id=2016091601072001" target="_blank"&gt;Public Record Only&lt;/a&gt;</t>
  </si>
  <si>
    <t>&lt;a href="http://a836-acris.nyc.gov/DS/DocumentSearch/DocumentDetail?doc_id=2016031501070001" target="_blank"&gt;Public Record Only&lt;/a&gt;</t>
  </si>
  <si>
    <t>&lt;a href="http://a836-acris.nyc.gov/DS/DocumentSearch/DocumentDetail?doc_id=2016041100809009" target="_blank"&gt;Public Record Only&lt;/a&gt;</t>
  </si>
  <si>
    <t>&lt;a href="http://a836-acris.nyc.gov/DS/DocumentSearch/DocumentDetail?doc_id=2018012200458001" target="_blank"&gt;Public Record Only&lt;/a&gt;</t>
  </si>
  <si>
    <t>&lt;a href="http://a836-acris.nyc.gov/DS/DocumentSearch/DocumentDetail?doc_id=2021080200284001" target="_blank"&gt;Public Record Only&lt;/a&gt;</t>
  </si>
  <si>
    <t>&lt;a href="http://a836-acris.nyc.gov/DS/DocumentSearch/DocumentDetail?doc_id=2017052500569001" target="_blank"&gt;Verified by Public Record&lt;/a&gt;</t>
  </si>
  <si>
    <t>Balcony
Private Terrace
Roof Deck
Common Roof Deck
Common Outdoor Space
Private Outdoor Space</t>
  </si>
  <si>
    <t>&lt;a href="http://a836-acris.nyc.gov/DS/DocumentSearch/DocumentDetail?doc_id=2014092900299001" target="_blank"&gt;Public Record Only&lt;/a&gt;</t>
  </si>
  <si>
    <t>&lt;a href="http://a836-acris.nyc.gov/DS/DocumentSearch/DocumentDetail?doc_id=2018020800365001" target="_blank"&gt;Public Record Only&lt;/a&gt;</t>
  </si>
  <si>
    <t>&lt;a href="http://a836-acris.nyc.gov/DS/DocumentSearch/DocumentDetail?doc_id=2017062800366001" target="_blank"&gt;Verified by Public Record&lt;/a&gt;</t>
  </si>
  <si>
    <t>&lt;a href="http://a836-acris.nyc.gov/DS/DocumentSearch/DocumentDetail?doc_id=2016032200130001" target="_blank"&gt;Verified by Public Record&lt;/a&gt;</t>
  </si>
  <si>
    <t>Private Terrace
Roof Deck
Common Roof Deck
Common Outdoor Space</t>
  </si>
  <si>
    <t>&lt;a href="http://a836-acris.nyc.gov/DS/DocumentSearch/DocumentDetail?doc_id=2016032801184001" target="_blank"&gt;Verified by Public Record&lt;/a&gt;</t>
  </si>
  <si>
    <t>&lt;a href="http://a836-acris.nyc.gov/DS/DocumentSearch/DocumentDetail?doc_id=2014092600765001" target="_blank"&gt;Verified by Public Record&lt;/a&gt;</t>
  </si>
  <si>
    <t>&lt;a href="http://a836-acris.nyc.gov/DS/DocumentSearch/DocumentDetail?doc_id=2021061001332002" target="_blank"&gt;Public Record Only&lt;/a&gt;</t>
  </si>
  <si>
    <t>&lt;a href="http://a836-acris.nyc.gov/DS/DocumentSearch/DocumentDetail?doc_id=2017060600594001" target="_blank"&gt;Public Record Only&lt;/a&gt;</t>
  </si>
  <si>
    <t>&lt;a href="http://a836-acris.nyc.gov/DS/DocumentSearch/DocumentDetail?doc_id=2016021201201001" target="_blank"&gt;Public Record Only&lt;/a&gt;</t>
  </si>
  <si>
    <t>&lt;a href="http://a836-acris.nyc.gov/DS/DocumentSearch/DocumentDetail?doc_id=2016092600241001" target="_blank"&gt;Public Record Only&lt;/a&gt;</t>
  </si>
  <si>
    <t>&lt;a href="http://a836-acris.nyc.gov/DS/DocumentSearch/DocumentDetail?doc_id=2016091401032001" target="_blank"&gt;Public Record Only&lt;/a&gt;</t>
  </si>
  <si>
    <t>&lt;a href="http://a836-acris.nyc.gov/DS/DocumentSearch/DocumentDetail?doc_id=2016083000835001" target="_blank"&gt;Public Record Only&lt;/a&gt;</t>
  </si>
  <si>
    <t>&lt;a href="http://a836-acris.nyc.gov/DS/DocumentSearch/DocumentDetail?doc_id=2016050600612001" target="_blank"&gt;Public Record Only&lt;/a&gt;</t>
  </si>
  <si>
    <t>&lt;a href="http://a836-acris.nyc.gov/DS/DocumentSearch/DocumentDetail?doc_id=2016112901234001" target="_blank"&gt;Public Record Only&lt;/a&gt;</t>
  </si>
  <si>
    <t>&lt;a href="http://a836-acris.nyc.gov/DS/DocumentSearch/DocumentDetail?doc_id=2016060300320001" target="_blank"&gt;Public Record Only&lt;/a&gt;</t>
  </si>
  <si>
    <t>&lt;a href="http://a836-acris.nyc.gov/DS/DocumentSearch/DocumentDetail?doc_id=2016122300278001" target="_blank"&gt;Public Record Only&lt;/a&gt;</t>
  </si>
  <si>
    <t>&lt;a href="http://a836-acris.nyc.gov/DS/DocumentSearch/DocumentDetail?doc_id=2017081100547001" target="_blank"&gt;Public Record Only&lt;/a&gt;</t>
  </si>
  <si>
    <t>&lt;a href="http://a836-acris.nyc.gov/DS/DocumentSearch/DocumentDetail?doc_id=2017051700695002" target="_blank"&gt;Public Record Only&lt;/a&gt;</t>
  </si>
  <si>
    <t>&lt;a href="http://a836-acris.nyc.gov/DS/DocumentSearch/DocumentDetail?doc_id=2016112300014002" target="_blank"&gt;Public Record Only&lt;/a&gt;</t>
  </si>
  <si>
    <t>&lt;a href="http://a836-acris.nyc.gov/DS/DocumentSearch/DocumentDetail?doc_id=2016051600868001" target="_blank"&gt;Public Record Only&lt;/a&gt;</t>
  </si>
  <si>
    <t>&lt;a href="http://a836-acris.nyc.gov/DS/DocumentSearch/DocumentDetail?doc_id=2016080200978002" target="_blank"&gt;Public Record Only&lt;/a&gt;</t>
  </si>
  <si>
    <t>&lt;a href="http://a836-acris.nyc.gov/DS/DocumentSearch/DocumentDetail?doc_id=2016070700856001" target="_blank"&gt;Public Record Only&lt;/a&gt;</t>
  </si>
  <si>
    <t>&lt;a href="http://a836-acris.nyc.gov/DS/DocumentSearch/DocumentDetail?doc_id=2016081600865002" target="_blank"&gt;Public Record Only&lt;/a&gt;</t>
  </si>
  <si>
    <t>&lt;a href="http://a836-acris.nyc.gov/DS/DocumentSearch/DocumentDetail?doc_id=2016122300268001" target="_blank"&gt;Public Record Only&lt;/a&gt;</t>
  </si>
  <si>
    <t>&lt;a href="http://a836-acris.nyc.gov/DS/DocumentSearch/DocumentDetail?doc_id=2016042501098001" target="_blank"&gt;Public Record Only&lt;/a&gt;</t>
  </si>
  <si>
    <t>&lt;a href="http://a836-acris.nyc.gov/DS/DocumentSearch/DocumentDetail?doc_id=2016092300726001" target="_blank"&gt;Public Record Only&lt;/a&gt;</t>
  </si>
  <si>
    <t>&lt;a href="http://a836-acris.nyc.gov/DS/DocumentSearch/DocumentDetail?doc_id=2016031401298002" target="_blank"&gt;Verified by Public Record&lt;/a&gt;</t>
  </si>
  <si>
    <t>&lt;a href="http://a836-acris.nyc.gov/DS/DocumentSearch/DocumentDetail?doc_id=2021020200315002" target="_blank"&gt;Verified by Public Record&lt;/a&gt;</t>
  </si>
  <si>
    <t>Private Terrace
Private Roof Deck
Roof Deck
Common Roof Deck
Common Outdoor Space
Private Outdoor Space</t>
  </si>
  <si>
    <t>&lt;a href="http://a836-acris.nyc.gov/DS/DocumentSearch/DocumentDetail?doc_id=2017112100118001" target="_blank"&gt;Public Record Only&lt;/a&gt;</t>
  </si>
  <si>
    <t>&lt;a href="http://a836-acris.nyc.gov/DS/DocumentSearch/DocumentDetail?doc_id=2016122801632001" target="_blank"&gt;Public Record Only&lt;/a&gt;</t>
  </si>
  <si>
    <t>&lt;a href="http://a836-acris.nyc.gov/DS/DocumentSearch/DocumentDetail?doc_id=2016092201351001" target="_blank"&gt;Public Record Only&lt;/a&gt;</t>
  </si>
  <si>
    <t>&lt;a href="http://a836-acris.nyc.gov/DS/DocumentSearch/DocumentDetail?doc_id=2014091601501001" target="_blank"&gt;Public Record Only&lt;/a&gt;</t>
  </si>
  <si>
    <t>&lt;a href="http://a836-acris.nyc.gov/DS/DocumentSearch/DocumentDetail?doc_id=2014091700830002" target="_blank"&gt;Public Record Only&lt;/a&gt;</t>
  </si>
  <si>
    <t>&lt;a href="http://a836-acris.nyc.gov/DS/DocumentSearch/DocumentDetail?doc_id=2016032200136001" target="_blank"&gt;Verified by Public Record&lt;/a&gt;</t>
  </si>
  <si>
    <t>&lt;a href="http://a836-acris.nyc.gov/DS/DocumentSearch/DocumentDetail?doc_id=2017022300653001" target="_blank"&gt;Public Record Only&lt;/a&gt;</t>
  </si>
  <si>
    <t>&lt;a href="http://a836-acris.nyc.gov/DS/DocumentSearch/DocumentDetail?doc_id=2016040500721001" target="_blank"&gt;Public Record Only&lt;/a&gt;</t>
  </si>
  <si>
    <t>&lt;a href="http://a836-acris.nyc.gov/DS/DocumentSearch/DocumentDetail?doc_id=2016053100958001" target="_blank"&gt;Public Record Only&lt;/a&gt;</t>
  </si>
  <si>
    <t>&lt;a href="http://a836-acris.nyc.gov/DS/DocumentSearch/DocumentDetail?doc_id=2016050301001009" target="_blank"&gt;Public Record Only&lt;/a&gt;</t>
  </si>
  <si>
    <t>&lt;a href="http://a836-acris.nyc.gov/DS/DocumentSearch/DocumentDetail?doc_id=2016052600500004" target="_blank"&gt;Public Record Only&lt;/a&gt;</t>
  </si>
  <si>
    <t>&lt;a href="http://a836-acris.nyc.gov/DS/DocumentSearch/DocumentDetail?doc_id=2020081100060001" target="_blank"&gt;Public Record Only&lt;/a&gt;</t>
  </si>
  <si>
    <t>&lt;a href="http://a836-acris.nyc.gov/DS/DocumentSearch/DocumentDetail?doc_id=2019092300259001" target="_blank"&gt;Public Record Only&lt;/a&gt;</t>
  </si>
  <si>
    <t>&lt;a href="http://a836-acris.nyc.gov/DS/DocumentSearch/DocumentDetail?doc_id=2016032500606002" target="_blank"&gt;Verified by Public Record&lt;/a&gt;</t>
  </si>
  <si>
    <t>Balcony
Juliet Balcony
Private Terrace
Roof Deck
Common Roof Deck
Common Outdoor Space</t>
  </si>
  <si>
    <t>&lt;a href="http://a836-acris.nyc.gov/DS/DocumentSearch/DocumentDetail?doc_id=2016032900417001" target="_blank"&gt;Verified by Public Record&lt;/a&gt;</t>
  </si>
  <si>
    <t>&lt;a href="http://a836-acris.nyc.gov/DS/DocumentSearch/DocumentDetail?doc_id=2016092000350001" target="_blank"&gt;Verified by Public Record&lt;/a&gt;</t>
  </si>
  <si>
    <t>&lt;a href="http://a836-acris.nyc.gov/DS/DocumentSearch/DocumentDetail?doc_id=2016032900057001" target="_blank"&gt;Verified by Public Record&lt;/a&gt;</t>
  </si>
  <si>
    <t>&lt;a href="http://a836-acris.nyc.gov/DS/DocumentSearch/DocumentDetail?doc_id=2017072000774003" target="_blank"&gt;Public Record Only&lt;/a&gt;</t>
  </si>
  <si>
    <t>&lt;a href="http://a836-acris.nyc.gov/DS/DocumentSearch/DocumentDetail?doc_id=2016122701462001" target="_blank"&gt;Public Record Only&lt;/a&gt;</t>
  </si>
  <si>
    <t>&lt;a href="http://a836-acris.nyc.gov/DS/DocumentSearch/DocumentDetail?doc_id=2017021400081001" target="_blank"&gt;Public Record Only&lt;/a&gt;</t>
  </si>
  <si>
    <t>&lt;a href="http://a836-acris.nyc.gov/DS/DocumentSearch/DocumentDetail?doc_id=2016090600992002" target="_blank"&gt;Public Record Only&lt;/a&gt;</t>
  </si>
  <si>
    <t>&lt;a href="http://a836-acris.nyc.gov/DS/DocumentSearch/DocumentDetail?doc_id=2015121601005002" target="_blank"&gt;Public Record Only&lt;/a&gt;</t>
  </si>
  <si>
    <t>&lt;a href="http://a836-acris.nyc.gov/DS/DocumentSearch/DocumentDetail?doc_id=2015120200984001" target="_blank"&gt;Public Record Only&lt;/a&gt;</t>
  </si>
  <si>
    <t>&lt;a href="http://a836-acris.nyc.gov/DS/DocumentSearch/DocumentDetail?doc_id=2015122900669003" target="_blank"&gt;Public Record Only&lt;/a&gt;</t>
  </si>
  <si>
    <t>&lt;a href="http://a836-acris.nyc.gov/DS/DocumentSearch/DocumentDetail?doc_id=2016042700402002" target="_blank"&gt;Public Record Only&lt;/a&gt;</t>
  </si>
  <si>
    <t>&lt;a href="http://a836-acris.nyc.gov/DS/DocumentSearch/DocumentDetail?doc_id=2015122100564004" target="_blank"&gt;Public Record Only&lt;/a&gt;</t>
  </si>
  <si>
    <t>&lt;a href="http://a836-acris.nyc.gov/DS/DocumentSearch/DocumentDetail?doc_id=2015110301279001" target="_blank"&gt;Public Record Only&lt;/a&gt;</t>
  </si>
  <si>
    <t>&lt;a href="http://a836-acris.nyc.gov/DS/DocumentSearch/DocumentDetail?doc_id=2016042600905001" target="_blank"&gt;Public Record Only&lt;/a&gt;</t>
  </si>
  <si>
    <t>&lt;a href="http://a836-acris.nyc.gov/DS/DocumentSearch/DocumentDetail?doc_id=2016041900239001" target="_blank"&gt;Public Record Only&lt;/a&gt;</t>
  </si>
  <si>
    <t>&lt;a href="http://a836-acris.nyc.gov/DS/DocumentSearch/DocumentDetail?doc_id=2016060800350002" target="_blank"&gt;Public Record Only&lt;/a&gt;</t>
  </si>
  <si>
    <t>&lt;a href="http://a836-acris.nyc.gov/DS/DocumentSearch/DocumentDetail?doc_id=2016060700640001" target="_blank"&gt;Public Record Only&lt;/a&gt;</t>
  </si>
  <si>
    <t>&lt;a href="http://a836-acris.nyc.gov/DS/DocumentSearch/DocumentDetail?doc_id=2016060601005001" target="_blank"&gt;Public Record Only&lt;/a&gt;</t>
  </si>
  <si>
    <t>&lt;a href="http://a836-acris.nyc.gov/DS/DocumentSearch/DocumentDetail?doc_id=2016042101065002" target="_blank"&gt;Public Record Only&lt;/a&gt;</t>
  </si>
  <si>
    <t>&lt;a href="http://a836-acris.nyc.gov/DS/DocumentSearch/DocumentDetail?doc_id=2016070800826001" target="_blank"&gt;Public Record Only&lt;/a&gt;</t>
  </si>
  <si>
    <t>&lt;a href="http://a836-acris.nyc.gov/DS/DocumentSearch/DocumentDetail?doc_id=2016111400439002" target="_blank"&gt;Public Record Only&lt;/a&gt;</t>
  </si>
  <si>
    <t>&lt;a href="http://a836-acris.nyc.gov/DS/DocumentSearch/DocumentDetail?doc_id=2016080200455003" target="_blank"&gt;Public Record Only&lt;/a&gt;</t>
  </si>
  <si>
    <t>&lt;a href="http://a836-acris.nyc.gov/DS/DocumentSearch/DocumentDetail?doc_id=2017052200119001" target="_blank"&gt;Public Record Only&lt;/a&gt;</t>
  </si>
  <si>
    <t>&lt;a href="http://a836-acris.nyc.gov/DS/DocumentSearch/DocumentDetail?doc_id=2016121401904002" target="_blank"&gt;Public Record Only&lt;/a&gt;</t>
  </si>
  <si>
    <t>&lt;a href="http://a836-acris.nyc.gov/DS/DocumentSearch/DocumentDetail?doc_id=2017042401025001" target="_blank"&gt;Public Record Only&lt;/a&gt;</t>
  </si>
  <si>
    <t>&lt;a href="http://a836-acris.nyc.gov/DS/DocumentSearch/DocumentDetail?doc_id=2017042800534001" target="_blank"&gt;Public Record Only&lt;/a&gt;</t>
  </si>
  <si>
    <t>&lt;a href="http://a836-acris.nyc.gov/DS/DocumentSearch/DocumentDetail?doc_id=2017022400454001" target="_blank"&gt;Public Record Only&lt;/a&gt;</t>
  </si>
  <si>
    <t>&lt;a href="http://a836-acris.nyc.gov/DS/DocumentSearch/DocumentDetail?doc_id=2016091900614001" target="_blank"&gt;Public Record Only&lt;/a&gt;</t>
  </si>
  <si>
    <t>&lt;a href="http://a836-acris.nyc.gov/DS/DocumentSearch/DocumentDetail?doc_id=2016092600209001" target="_blank"&gt;Public Record Only&lt;/a&gt;</t>
  </si>
  <si>
    <t>&lt;a href="http://a836-acris.nyc.gov/DS/DocumentSearch/DocumentDetail?doc_id=2021062900418001" target="_blank"&gt;Public Record Only&lt;/a&gt;</t>
  </si>
  <si>
    <t>&lt;a href="http://a836-acris.nyc.gov/DS/DocumentSearch/DocumentDetail?doc_id=2021052800747003" target="_blank"&gt;Public Record Only&lt;/a&gt;</t>
  </si>
  <si>
    <t>&lt;a href="http://a836-acris.nyc.gov/DS/DocumentSearch/DocumentDetail?doc_id=2016042100333001" target="_blank"&gt;Verified by Public Record&lt;/a&gt;</t>
  </si>
  <si>
    <t>&lt;a href="http://a836-acris.nyc.gov/DS/DocumentSearch/DocumentDetail?doc_id=2016033000851001" target="_blank"&gt;Verified by Public Record&lt;/a&gt;</t>
  </si>
  <si>
    <t>&lt;a href="http://a836-acris.nyc.gov/DS/DocumentSearch/DocumentDetail?doc_id=2016060200834001" target="_blank"&gt;Verified by Public Record&lt;/a&gt;</t>
  </si>
  <si>
    <t>&lt;a href="http://a836-acris.nyc.gov/DS/DocumentSearch/DocumentDetail?doc_id=2017073101302002" target="_blank"&gt;Verified by Public Record&lt;/a&gt;</t>
  </si>
  <si>
    <t>&lt;a href="http://a836-acris.nyc.gov/DS/DocumentSearch/DocumentDetail?doc_id=2016032801434001" target="_blank"&gt;Verified by Public Record&lt;/a&gt;</t>
  </si>
  <si>
    <t>Balcony
Juliet Balcony
Roof Deck
Common Roof Deck
Common Outdoor Space
Private Outdoor Space</t>
  </si>
  <si>
    <t>&lt;a href="http://a836-acris.nyc.gov/DS/DocumentSearch/DocumentDetail?doc_id=2020082600605002" target="_blank"&gt;Verified by Public Record&lt;/a&gt;</t>
  </si>
  <si>
    <t>Balcony
Juliet Balcony
Private Terrace
Roof Deck
Common Roof Deck
Common Outdoor Space
Private Outdoor Space</t>
  </si>
  <si>
    <t>&lt;a href="http://a836-acris.nyc.gov/DS/DocumentSearch/DocumentDetail?doc_id=2016040800460001" target="_blank"&gt;Verified by Public Record&lt;/a&gt;</t>
  </si>
  <si>
    <t>&lt;a href="http://a836-acris.nyc.gov/DS/DocumentSearch/DocumentDetail?doc_id=2016041000009001" target="_blank"&gt;Verified by Public Record&lt;/a&gt;</t>
  </si>
  <si>
    <t>&lt;a href="http://a836-acris.nyc.gov/DS/DocumentSearch/DocumentDetail?doc_id=2016062201196001" target="_blank"&gt;Verified by Public Record&lt;/a&gt;</t>
  </si>
  <si>
    <t>&lt;a href="http://a836-acris.nyc.gov/DS/DocumentSearch/DocumentDetail?doc_id=2016042600551001" target="_blank"&gt;Verified by Public Record&lt;/a&gt;</t>
  </si>
  <si>
    <t>&lt;a href="http://a836-acris.nyc.gov/DS/DocumentSearch/DocumentDetail?doc_id=2016031600718001" target="_blank"&gt;Verified by Public Record&lt;/a&gt;</t>
  </si>
  <si>
    <t>&lt;a href="http://a836-acris.nyc.gov/DS/DocumentSearch/DocumentDetail?doc_id=2016111801152001" target="_blank"&gt;Verified by Public Record&lt;/a&gt;</t>
  </si>
  <si>
    <t>&lt;a href="http://a836-acris.nyc.gov/DS/DocumentSearch/DocumentDetail?doc_id=2019051500124007" target="_blank"&gt;Verified by Public Record&lt;/a&gt;</t>
  </si>
  <si>
    <t>Balcony
Private Terrace
Private Patio
Private Roof Deck
Roof Deck
Common Roof Deck
Common Outdoor Space
Private Outdoor Space</t>
  </si>
  <si>
    <t>&lt;a href="http://a836-acris.nyc.gov/DS/DocumentSearch/DocumentDetail?doc_id=2016040501107001" target="_blank"&gt;Verified by Public Record&lt;/a&gt;</t>
  </si>
  <si>
    <t>&lt;a href="http://a836-acris.nyc.gov/DS/DocumentSearch/DocumentDetail?doc_id=2016072900907001" target="_blank"&gt;Verified by Public Record&lt;/a&gt;</t>
  </si>
  <si>
    <t>&lt;a href="http://a836-acris.nyc.gov/DS/DocumentSearch/DocumentDetail?doc_id=2016040400733010" target="_blank"&gt;Verified by Public Record&lt;/a&gt;</t>
  </si>
  <si>
    <t>&lt;a href="http://a836-acris.nyc.gov/DS/DocumentSearch/DocumentDetail?doc_id=2016090601001001" target="_blank"&gt;Verified by Public Record&lt;/a&gt;</t>
  </si>
  <si>
    <t>&lt;a href="http://a836-acris.nyc.gov/DS/DocumentSearch/DocumentDetail?doc_id=2017070500506001" target="_blank"&gt;Verified by Public Record&lt;/a&gt;</t>
  </si>
  <si>
    <t>&lt;a href="http://a836-acris.nyc.gov/DS/DocumentSearch/DocumentDetail?doc_id=2018060600301001" target="_blank"&gt;Verified by Public Record&lt;/a&gt;</t>
  </si>
  <si>
    <t>&lt;a href="http://a836-acris.nyc.gov/DS/DocumentSearch/DocumentDetail?doc_id=2017061200652001" target="_blank"&gt;Verified by Public Record&lt;/a&gt;</t>
  </si>
  <si>
    <t>Doorman, Part-Time Doorman, Remote Doorman</t>
  </si>
  <si>
    <t>&lt;a href="http://a836-acris.nyc.gov/DS/DocumentSearch/DocumentDetail?doc_id=2016103101213001" target="_blank"&gt;Verified by Public Record&lt;/a&gt;</t>
  </si>
  <si>
    <t>&lt;a href="http://a836-acris.nyc.gov/DS/DocumentSearch/DocumentDetail?doc_id=2018041001090001" target="_blank"&gt;Verified by Public Record&lt;/a&gt;</t>
  </si>
  <si>
    <t>&lt;a href="http://a836-acris.nyc.gov/DS/DocumentSearch/DocumentDetail?doc_id=2017022200504001" target="_blank"&gt;Verified by Public Record&lt;/a&gt;</t>
  </si>
  <si>
    <t>&lt;a href="http://a836-acris.nyc.gov/DS/DocumentSearch/DocumentDetail?doc_id=2017021600565004" target="_blank"&gt;Verified by Public Record&lt;/a&gt;</t>
  </si>
  <si>
    <t>&lt;a href="http://a836-acris.nyc.gov/DS/DocumentSearch/DocumentDetail?doc_id=2017021600471001" target="_blank"&gt;Verified by Public Record&lt;/a&gt;</t>
  </si>
  <si>
    <t>&lt;a href="http://a836-acris.nyc.gov/DS/DocumentSearch/DocumentDetail?doc_id=2017021300377001" target="_blank"&gt;Verified by Public Record&lt;/a&gt;</t>
  </si>
  <si>
    <t>&lt;a href="http://a836-acris.nyc.gov/DS/DocumentSearch/DocumentDetail?doc_id=2017030901069001" target="_blank"&gt;Verified by Public Record&lt;/a&gt;</t>
  </si>
  <si>
    <t>&lt;a href="http://a836-acris.nyc.gov/DS/DocumentSearch/DocumentDetail?doc_id=2017040701180001" target="_blank"&gt;Verified by Public Record&lt;/a&gt;</t>
  </si>
  <si>
    <t>&lt;a href="http://a836-acris.nyc.gov/DS/DocumentSearch/DocumentDetail?doc_id=2017111000319003" target="_blank"&gt;Verified by Public Record&lt;/a&gt;</t>
  </si>
  <si>
    <t>&lt;a href="http://a836-acris.nyc.gov/DS/DocumentSearch/DocumentDetail?doc_id=2017022000021002" target="_blank"&gt;Verified by Public Record&lt;/a&gt;</t>
  </si>
  <si>
    <t>&lt;a href="http://a836-acris.nyc.gov/DS/DocumentSearch/DocumentDetail?doc_id=2017021300463003" target="_blank"&gt;Verified by Public Record&lt;/a&gt;</t>
  </si>
  <si>
    <t>Private Terrace
Common Roof Deck
Private Outdoor Space</t>
  </si>
  <si>
    <t>&lt;a href="http://a836-acris.nyc.gov/DS/DocumentSearch/DocumentDetail?doc_id=2017040300409002" target="_blank"&gt;Verified by Public Record&lt;/a&gt;</t>
  </si>
  <si>
    <t>&lt;a href="http://a836-acris.nyc.gov/DS/DocumentSearch/DocumentDetail?doc_id=2019070100840002" target="_blank"&gt;Verified by Public Record&lt;/a&gt;</t>
  </si>
  <si>
    <t>&lt;a href="http://a836-acris.nyc.gov/DS/DocumentSearch/DocumentDetail?doc_id=2017092000919002" target="_blank"&gt;Verified by Public Record&lt;/a&gt;</t>
  </si>
  <si>
    <t>&lt;a href="http://a836-acris.nyc.gov/DS/DocumentSearch/DocumentDetail?doc_id=2016071201695001" target="_blank"&gt;Verified by Public Record&lt;/a&gt;</t>
  </si>
  <si>
    <t>&lt;a href="http://a836-acris.nyc.gov/DS/DocumentSearch/DocumentDetail?doc_id=2020122901328002" target="_blank"&gt;Verified by Public Record&lt;/a&gt;</t>
  </si>
  <si>
    <t>Full-Time Doorman, Concierge, Full-Service Building</t>
  </si>
  <si>
    <t>&lt;a href="http://a836-acris.nyc.gov/DS/DocumentSearch/DocumentDetail?doc_id=2015020900999003" target="_blank"&gt;Verified by Public Record&lt;/a&gt;</t>
  </si>
  <si>
    <t>&lt;a href="http://a836-acris.nyc.gov/DS/DocumentSearch/DocumentDetail?doc_id=2018112901178004" target="_blank"&gt;Verified by Public Record&lt;/a&gt;</t>
  </si>
  <si>
    <t>Private Wrap Around Terrace
Private Outdoor Space</t>
  </si>
  <si>
    <t>Juliet Balcony
Common Outdoor Space
Private Outdoor Space</t>
  </si>
  <si>
    <t>&lt;a href="http://a836-acris.nyc.gov/DS/DocumentSearch/DocumentDetail?doc_id=2015100700273002" target="_blank"&gt;Verified by Public Record&lt;/a&gt;</t>
  </si>
  <si>
    <t>&lt;a href="http://a836-acris.nyc.gov/DS/DocumentSearch/DocumentDetail?doc_id=2016011900456001" target="_blank"&gt;Verified by Public Record&lt;/a&gt;</t>
  </si>
  <si>
    <t>&lt;a href="http://a836-acris.nyc.gov/DS/DocumentSearch/DocumentDetail?doc_id=2016093000080001" target="_blank"&gt;Verified by Public Record&lt;/a&gt;</t>
  </si>
  <si>
    <t>&lt;a href="http://a836-acris.nyc.gov/DS/DocumentSearch/DocumentDetail?doc_id=2015071301325001" target="_blank"&gt;Verified by Public Record&lt;/a&gt;</t>
  </si>
  <si>
    <t>&lt;a href="http://a836-acris.nyc.gov/DS/DocumentSearch/DocumentDetail?doc_id=2017082800058001" target="_blank"&gt;Verified by Public Record&lt;/a&gt;</t>
  </si>
  <si>
    <t>&lt;a href="http://a836-acris.nyc.gov/DS/DocumentSearch/DocumentDetail?doc_id=2016021801842001" target="_blank"&gt;Verified by Public Record&lt;/a&gt;</t>
  </si>
  <si>
    <t>Roof Deck
Common Roof Deck
Private Outdoor Space</t>
  </si>
  <si>
    <t>&lt;a href="http://a836-acris.nyc.gov/DS/DocumentSearch/DocumentDetail?doc_id=2014121800767001" target="_blank"&gt;Verified by Public Record&lt;/a&gt;</t>
  </si>
  <si>
    <t>Private Terrace
Private Roof Deck
Roof Deck
Common Roof Deck
Private Outdoor Space</t>
  </si>
  <si>
    <t>&lt;a href="http://a836-acris.nyc.gov/DS/DocumentSearch/DocumentDetail?doc_id=2019052400352001" target="_blank"&gt;Verified by Public Record&lt;/a&gt;</t>
  </si>
  <si>
    <t>&lt;a href="http://a836-acris.nyc.gov/DS/DocumentSearch/DocumentDetail?doc_id=2018072300125003" target="_blank"&gt;Verified by Public Record&lt;/a&gt;</t>
  </si>
  <si>
    <t>&lt;a href="http://a836-acris.nyc.gov/DS/DocumentSearch/DocumentDetail?doc_id=2015102800397001" target="_blank"&gt;Verified by Public Record&lt;/a&gt;</t>
  </si>
  <si>
    <t>&lt;a href="http://a836-acris.nyc.gov/DS/DocumentSearch/DocumentDetail?doc_id=2015092901137002" target="_blank"&gt;Verified by Public Record&lt;/a&gt;</t>
  </si>
  <si>
    <t>&lt;a href="http://a836-acris.nyc.gov/DS/DocumentSearch/DocumentDetail?doc_id=2015100601271001" target="_blank"&gt;Verified by Public Record&lt;/a&gt;</t>
  </si>
  <si>
    <t>&lt;a href="http://a836-acris.nyc.gov/DS/DocumentSearch/DocumentDetail?doc_id=2016091500062001" target="_blank"&gt;Verified by Public Record&lt;/a&gt;</t>
  </si>
  <si>
    <t>&lt;a href="http://a836-acris.nyc.gov/DS/DocumentSearch/DocumentDetail?doc_id=2014111300644002" target="_blank"&gt;Verified by Public Record&lt;/a&gt;</t>
  </si>
  <si>
    <t>&lt;a href="http://a836-acris.nyc.gov/DS/DocumentSearch/DocumentDetail?doc_id=2016042900320001" target="_blank"&gt;Verified by Public Record&lt;/a&gt;</t>
  </si>
  <si>
    <t>&lt;a href="http://a836-acris.nyc.gov/DS/DocumentSearch/DocumentDetail?doc_id=2015122200328001" target="_blank"&gt;Verified by Public Record&lt;/a&gt;</t>
  </si>
  <si>
    <t>&lt;a href="http://a836-acris.nyc.gov/DS/DocumentSearch/DocumentDetail?doc_id=2015091400379001" target="_blank"&gt;Verified by Public Record&lt;/a&gt;</t>
  </si>
  <si>
    <t>Balcony
Juliet Balcony
Common Outdoor Space
Private Outdoor Space</t>
  </si>
  <si>
    <t>&lt;a href="http://a836-acris.nyc.gov/DS/DocumentSearch/DocumentDetail?doc_id=2015121100184001" target="_blank"&gt;Verified by Public Record&lt;/a&gt;</t>
  </si>
  <si>
    <t>&lt;a href="http://a836-acris.nyc.gov/DS/DocumentSearch/DocumentDetail?doc_id=2015032400083001" target="_blank"&gt;Verified by Public Record&lt;/a&gt;</t>
  </si>
  <si>
    <t>Balcony
Private Terrace
Private Roof Deck
Roof Deck
Common Roof Deck
Barbecue Area
Common Outdoor Space</t>
  </si>
  <si>
    <t>&lt;a href="http://a836-acris.nyc.gov/DS/DocumentSearch/DocumentDetail?doc_id=2014120400058002" target="_blank"&gt;Verified by Public Record&lt;/a&gt;</t>
  </si>
  <si>
    <t>&lt;a href="http://a836-acris.nyc.gov/DS/DocumentSearch/DocumentDetail?doc_id=2014112000579002" target="_blank"&gt;Verified by Public Record&lt;/a&gt;</t>
  </si>
  <si>
    <t>&lt;a href="http://a836-acris.nyc.gov/DS/DocumentSearch/DocumentDetail?doc_id=2014112100891002" target="_blank"&gt;Verified by Public Record&lt;/a&gt;</t>
  </si>
  <si>
    <t>&lt;a href="http://a836-acris.nyc.gov/DS/DocumentSearch/DocumentDetail?doc_id=2014112100718002" target="_blank"&gt;Verified by Public Record&lt;/a&gt;</t>
  </si>
  <si>
    <t>&lt;a href="http://a836-acris.nyc.gov/DS/DocumentSearch/DocumentDetail?doc_id=2018022200609001" target="_blank"&gt;Verified by Public Record&lt;/a&gt;</t>
  </si>
  <si>
    <t>&lt;a href="http://a836-acris.nyc.gov/DS/DocumentSearch/DocumentDetail?doc_id=2020012200398003" target="_blank"&gt;Verified by Public Record&lt;/a&gt;</t>
  </si>
  <si>
    <t>&lt;a href="http://a836-acris.nyc.gov/DS/DocumentSearch/DocumentDetail?doc_id=2015120401276001" target="_blank"&gt;Verified by Public Record&lt;/a&gt;</t>
  </si>
  <si>
    <t>&lt;a href="http://a836-acris.nyc.gov/DS/DocumentSearch/DocumentDetail?doc_id=2015092401044001" target="_blank"&gt;Verified by Public Record&lt;/a&gt;</t>
  </si>
  <si>
    <t>&lt;a href="http://a836-acris.nyc.gov/DS/DocumentSearch/DocumentDetail?doc_id=2015020300681001" target="_blank"&gt;Verified by Public Record&lt;/a&gt;</t>
  </si>
  <si>
    <t>&lt;a href="http://a836-acris.nyc.gov/DS/DocumentSearch/DocumentDetail?doc_id=2017051600893001" target="_blank"&gt;Verified by Public Record&lt;/a&gt;</t>
  </si>
  <si>
    <t>&lt;a href="http://a836-acris.nyc.gov/DS/DocumentSearch/DocumentDetail?doc_id=2015012001155003" target="_blank"&gt;Verified by Public Record&lt;/a&gt;</t>
  </si>
  <si>
    <t>&lt;a href="http://a836-acris.nyc.gov/DS/DocumentSearch/DocumentDetail?doc_id=2014111700572001" target="_blank"&gt;Verified by Public Record&lt;/a&gt;</t>
  </si>
  <si>
    <t>&lt;a href="http://a836-acris.nyc.gov/DS/DocumentSearch/DocumentDetail?doc_id=2014120901415001" target="_blank"&gt;Verified by Public Record&lt;/a&gt;</t>
  </si>
  <si>
    <t>&lt;a href="http://a836-acris.nyc.gov/DS/DocumentSearch/DocumentDetail?doc_id=2014120600025001" target="_blank"&gt;Verified by Public Record&lt;/a&gt;</t>
  </si>
  <si>
    <t>&lt;a href="http://a836-acris.nyc.gov/DS/DocumentSearch/DocumentDetail?doc_id=2014120201150002" target="_blank"&gt;Verified by Public Record&lt;/a&gt;</t>
  </si>
  <si>
    <t>&lt;a href="http://a836-acris.nyc.gov/DS/DocumentSearch/DocumentDetail?doc_id=2015010600768003" target="_blank"&gt;Verified by Public Record&lt;/a&gt;</t>
  </si>
  <si>
    <t>&lt;a href="http://a836-acris.nyc.gov/DS/DocumentSearch/DocumentDetail?doc_id=2018121400729004" target="_blank"&gt;Verified by Public Record&lt;/a&gt;</t>
  </si>
  <si>
    <t>&lt;a href="http://a836-acris.nyc.gov/DS/DocumentSearch/DocumentDetail?doc_id=2019121700636001" target="_blank"&gt;Verified by Public Record&lt;/a&gt;</t>
  </si>
  <si>
    <t>&lt;a href="http://a836-acris.nyc.gov/DS/DocumentSearch/DocumentDetail?doc_id=2014111100398001" target="_blank"&gt;Verified by Public Record&lt;/a&gt;</t>
  </si>
  <si>
    <t>&lt;a href="http://a836-acris.nyc.gov/DS/DocumentSearch/DocumentDetail?doc_id=2014123100906001" target="_blank"&gt;Verified by Public Record&lt;/a&gt;</t>
  </si>
  <si>
    <t>&lt;a href="http://a836-acris.nyc.gov/DS/DocumentSearch/DocumentDetail?doc_id=2014122200750001" target="_blank"&gt;Verified by Public Record&lt;/a&gt;</t>
  </si>
  <si>
    <t>&lt;a href="http://a836-acris.nyc.gov/DS/DocumentSearch/DocumentDetail?doc_id=2014123000082001" target="_blank"&gt;Verified by Public Record&lt;/a&gt;</t>
  </si>
  <si>
    <t>&lt;a href="http://a836-acris.nyc.gov/DS/DocumentSearch/DocumentDetail?doc_id=2014111700826002" target="_blank"&gt;Verified by Public Record&lt;/a&gt;</t>
  </si>
  <si>
    <t>&lt;a href="http://a836-acris.nyc.gov/DS/DocumentSearch/DocumentDetail?doc_id=2014111000422002" target="_blank"&gt;Verified by Public Record&lt;/a&gt;</t>
  </si>
  <si>
    <t>&lt;a href="http://a836-acris.nyc.gov/DS/DocumentSearch/DocumentDetail?doc_id=2015110600315001" target="_blank"&gt;Verified by Public Record&lt;/a&gt;</t>
  </si>
  <si>
    <t>Private Wrap Around Terrace
Common Outdoor Space
Private Outdoor Space</t>
  </si>
  <si>
    <t>&lt;a href="http://a836-acris.nyc.gov/DS/DocumentSearch/DocumentDetail?doc_id=2015091400876003" target="_blank"&gt;Verified by Public Record&lt;/a&gt;</t>
  </si>
  <si>
    <t>&lt;a href="http://a836-acris.nyc.gov/DS/DocumentSearch/DocumentDetail?doc_id=2015042700845001" target="_blank"&gt;Verified by Public Record&lt;/a&gt;</t>
  </si>
  <si>
    <t>&lt;a href="http://a836-acris.nyc.gov/DS/DocumentSearch/DocumentDetail?doc_id=2014121000426001" target="_blank"&gt;Verified by Public Record&lt;/a&gt;</t>
  </si>
  <si>
    <t>&lt;a href="http://a836-acris.nyc.gov/DS/DocumentSearch/DocumentDetail?doc_id=2014111200972001" target="_blank"&gt;Verified by Public Record&lt;/a&gt;</t>
  </si>
  <si>
    <t>&lt;a href="http://a836-acris.nyc.gov/DS/DocumentSearch/DocumentDetail?doc_id=2014112400606001" target="_blank"&gt;Verified by Public Record&lt;/a&gt;</t>
  </si>
  <si>
    <t>&lt;a href="http://a836-acris.nyc.gov/DS/DocumentSearch/DocumentDetail?doc_id=2014120401099001" target="_blank"&gt;Verified by Public Record&lt;/a&gt;</t>
  </si>
  <si>
    <t>&lt;a href="http://a836-acris.nyc.gov/DS/DocumentSearch/DocumentDetail?doc_id=2014111300131002" target="_blank"&gt;Verified by Public Record&lt;/a&gt;</t>
  </si>
  <si>
    <t>&lt;a href="http://a836-acris.nyc.gov/DS/DocumentSearch/DocumentDetail?doc_id=2014112401155001" target="_blank"&gt;Verified by Public Record&lt;/a&gt;</t>
  </si>
  <si>
    <t>&lt;a href="http://a836-acris.nyc.gov/DS/DocumentSearch/DocumentDetail?doc_id=2021072201550001" target="_blank"&gt;Verified by Public Record&lt;/a&gt;</t>
  </si>
  <si>
    <t>Private Wrap Around Terrace
Roof Deck
Common Roof Deck
Common Outdoor Space</t>
  </si>
  <si>
    <t>&lt;a href="http://a836-acris.nyc.gov/DS/DocumentSearch/DocumentDetail?doc_id=2015011400584001" target="_blank"&gt;Verified by Public Record&lt;/a&gt;</t>
  </si>
  <si>
    <t>&lt;a href="http://a836-acris.nyc.gov/DS/DocumentSearch/DocumentDetail?doc_id=2014121900549001" target="_blank"&gt;Verified by Public Record&lt;/a&gt;</t>
  </si>
  <si>
    <t>&lt;a href="http://a836-acris.nyc.gov/DS/DocumentSearch/DocumentDetail?doc_id=2015100801195001" target="_blank"&gt;Verified by Public Record&lt;/a&gt;</t>
  </si>
  <si>
    <t>&lt;a href="http://a836-acris.nyc.gov/DS/DocumentSearch/DocumentDetail?doc_id=2020022600801001" target="_blank"&gt;Verified by Public Record&lt;/a&gt;</t>
  </si>
  <si>
    <t>&lt;a href="http://a836-acris.nyc.gov/DS/DocumentSearch/DocumentDetail?doc_id=2019120601002001" target="_blank"&gt;Verified by Public Record&lt;/a&gt;</t>
  </si>
  <si>
    <t>&lt;a href="http://a836-acris.nyc.gov/DS/DocumentSearch/DocumentDetail?doc_id=2021073000234001" target="_blank"&gt;Verified by Public Record&lt;/a&gt;</t>
  </si>
  <si>
    <t>&lt;a href="http://a836-acris.nyc.gov/DS/DocumentSearch/DocumentDetail?doc_id=2016021700839001" target="_blank"&gt;Verified by Public Record&lt;/a&gt;</t>
  </si>
  <si>
    <t>&lt;a href="http://a836-acris.nyc.gov/DS/DocumentSearch/DocumentDetail?doc_id=2015052100377003" target="_blank"&gt;Verified by Public Record&lt;/a&gt;</t>
  </si>
  <si>
    <t>&lt;a href="http://a836-acris.nyc.gov/DS/DocumentSearch/DocumentDetail?doc_id=2018021600942001" target="_blank"&gt;Verified by Public Record&lt;/a&gt;</t>
  </si>
  <si>
    <t>&lt;a href="http://a836-acris.nyc.gov/DS/DocumentSearch/DocumentDetail?doc_id=2014112100476001" target="_blank"&gt;Verified by Public Record&lt;/a&gt;</t>
  </si>
  <si>
    <t>&lt;a href="http://a836-acris.nyc.gov/DS/DocumentSearch/DocumentDetail?doc_id=2014123000266002" target="_blank"&gt;Verified by Public Record&lt;/a&gt;</t>
  </si>
  <si>
    <t>&lt;a href="http://a836-acris.nyc.gov/DS/DocumentSearch/DocumentDetail?doc_id=2015100500797002" target="_blank"&gt;Verified by Public Record&lt;/a&gt;</t>
  </si>
  <si>
    <t>Private Terrace
Roof Deck
Common Roof Deck
Barbecue Area
Private Outdoor Space</t>
  </si>
  <si>
    <t>&lt;a href="http://a836-acris.nyc.gov/DS/DocumentSearch/DocumentDetail?doc_id=2015122201068001" target="_blank"&gt;Verified by Public Record&lt;/a&gt;</t>
  </si>
  <si>
    <t>&lt;a href="http://a836-acris.nyc.gov/DS/DocumentSearch/DocumentDetail?doc_id=2015070101213001" target="_blank"&gt;Verified by Public Record&lt;/a&gt;</t>
  </si>
  <si>
    <t>Private Terrace
Private Roof Deck
Roof Deck
Common Roof Deck
Barbecue Area
Common Outdoor Space</t>
  </si>
  <si>
    <t>&lt;a href="http://a836-acris.nyc.gov/DS/DocumentSearch/DocumentDetail?doc_id=2020121601195001" target="_blank"&gt;Verified by Public Record&lt;/a&gt;</t>
  </si>
  <si>
    <t>&lt;a href="http://a836-acris.nyc.gov/DS/DocumentSearch/DocumentDetail?doc_id=2021051201392001" target="_blank"&gt;Verified by Public Record&lt;/a&gt;</t>
  </si>
  <si>
    <t>&lt;a href="http://a836-acris.nyc.gov/DS/DocumentSearch/DocumentDetail?doc_id=2020111301172001" target="_blank"&gt;Verified by Public Record&lt;/a&gt;</t>
  </si>
  <si>
    <t>&lt;a href="http://a836-acris.nyc.gov/DS/DocumentSearch/DocumentDetail?doc_id=2021010400895002" target="_blank"&gt;Verified by Public Record&lt;/a&gt;</t>
  </si>
  <si>
    <t>&lt;a href="http://a836-acris.nyc.gov/DS/DocumentSearch/DocumentDetail?doc_id=2020112200067001" target="_blank"&gt;Verified by Public Record&lt;/a&gt;</t>
  </si>
  <si>
    <t>&lt;a href="http://a836-acris.nyc.gov/DS/DocumentSearch/DocumentDetail?doc_id=2019070301083003" target="_blank"&gt;Public Record Only&lt;/a&gt;</t>
  </si>
  <si>
    <t>&lt;a href="http://a836-acris.nyc.gov/DS/DocumentSearch/DocumentDetail?doc_id=2016041900438001" target="_blank"&gt;Public Record Only&lt;/a&gt;</t>
  </si>
  <si>
    <t>&lt;a href="http://a836-acris.nyc.gov/DS/DocumentSearch/DocumentDetail?doc_id=2020102900280001" target="_blank"&gt;Verified by Public Record&lt;/a&gt;</t>
  </si>
  <si>
    <t>&lt;a href="http://a836-acris.nyc.gov/DS/DocumentSearch/DocumentDetail?doc_id=2021040700018001" target="_blank"&gt;Verified by Public Record&lt;/a&gt;</t>
  </si>
  <si>
    <t>&lt;a href="http://a836-acris.nyc.gov/DS/DocumentSearch/DocumentDetail?doc_id=2019042400424001" target="_blank"&gt;Public Record Only&lt;/a&gt;</t>
  </si>
  <si>
    <t>Co-op/Condop</t>
  </si>
  <si>
    <t>&lt;a href="http://a836-acris.nyc.gov/DS/DocumentSearch/DocumentDetail?doc_id=2017052300552001" target="_blank"&gt;Verified by Public Record&lt;/a&gt;</t>
  </si>
  <si>
    <t>&lt;a href="http://a836-acris.nyc.gov/DS/DocumentSearch/DocumentDetail?doc_id=2021072000441001" target="_blank"&gt;Verified by Public Record&lt;/a&gt;</t>
  </si>
  <si>
    <t>&lt;a href="http://a836-acris.nyc.gov/DS/DocumentSearch/DocumentDetail?doc_id=2015012900089001" target="_blank"&gt;Verified by Public Record&lt;/a&gt;</t>
  </si>
  <si>
    <t>&lt;a href="http://a836-acris.nyc.gov/DS/DocumentSearch/DocumentDetail?doc_id=2021052600474001" target="_blank"&gt;Verified by Public Record&lt;/a&gt;</t>
  </si>
  <si>
    <t>&lt;a href="http://a836-acris.nyc.gov/DS/DocumentSearch/DocumentDetail?doc_id=2021051000781007" target="_blank"&gt;Verified by Public Record&lt;/a&gt;</t>
  </si>
  <si>
    <t>&lt;a href="http://a836-acris.nyc.gov/DS/DocumentSearch/DocumentDetail?doc_id=2021061900002001" target="_blank"&gt;Verified by Public Record&lt;/a&gt;</t>
  </si>
  <si>
    <t>&lt;a href="http://a836-acris.nyc.gov/DS/DocumentSearch/DocumentDetail?doc_id=2016022400335001" target="_blank"&gt;Public Record Only&lt;/a&gt;</t>
  </si>
  <si>
    <t>&lt;a href="http://a836-acris.nyc.gov/DS/DocumentSearch/DocumentDetail?doc_id=2015030300482001" target="_blank"&gt;Verified by Public Record&lt;/a&gt;</t>
  </si>
  <si>
    <t>&lt;a href="http://a836-acris.nyc.gov/DS/DocumentSearch/DocumentDetail?doc_id=2019072401157001" target="_blank"&gt;Verified by Public Record&lt;/a&gt;</t>
  </si>
  <si>
    <t>&lt;a href="http://a836-acris.nyc.gov/DS/DocumentSearch/DocumentDetail?doc_id=2014111201057001" target="_blank"&gt;Verified by Public Record&lt;/a&gt;</t>
  </si>
  <si>
    <t>&lt;a href="http://a836-acris.nyc.gov/DS/DocumentSearch/DocumentDetail?doc_id=2015011301154001" target="_blank"&gt;Verified by Public Record&lt;/a&gt;</t>
  </si>
  <si>
    <t>&lt;a href="http://a836-acris.nyc.gov/DS/DocumentSearch/DocumentDetail?doc_id=2018032600381003" target="_blank"&gt;Public Record Only&lt;/a&gt;</t>
  </si>
  <si>
    <t>&lt;a href="http://a836-acris.nyc.gov/DS/DocumentSearch/DocumentDetail?doc_id=2021072801050003" target="_blank"&gt;Verified by Public Record&lt;/a&gt;</t>
  </si>
  <si>
    <t>&lt;a href="http://a836-acris.nyc.gov/DS/DocumentSearch/DocumentDetail?doc_id=2017030301008001" target="_blank"&gt;Public Record Only&lt;/a&gt;</t>
  </si>
  <si>
    <t>&lt;a href="http://a836-acris.nyc.gov/DS/DocumentSearch/DocumentDetail?doc_id=2014110800129001" target="_blank"&gt;Verified by Public Record&lt;/a&gt;</t>
  </si>
  <si>
    <t>Private Terrace
Roof Deck
Common Roof Deck
Private Outdoor Space</t>
  </si>
  <si>
    <t>&lt;a href="http://a836-acris.nyc.gov/DS/DocumentSearch/DocumentDetail?doc_id=2016031000805001" target="_blank"&gt;Public Record Only&lt;/a&gt;</t>
  </si>
  <si>
    <t>&lt;a href="http://a836-acris.nyc.gov/DS/DocumentSearch/DocumentDetail?doc_id=2014112401271001" target="_blank"&gt;Verified by Public Record&lt;/a&gt;</t>
  </si>
  <si>
    <t>&lt;a href="http://a836-acris.nyc.gov/DS/DocumentSearch/DocumentDetail?doc_id=2017010600512001" target="_blank"&gt;Verified by Public Record&lt;/a&gt;</t>
  </si>
  <si>
    <t>&lt;a href="http://a836-acris.nyc.gov/DS/DocumentSearch/DocumentDetail?doc_id=2014112501290001" target="_blank"&gt;Verified by Public Record&lt;/a&gt;</t>
  </si>
  <si>
    <t>&lt;a href="http://a836-acris.nyc.gov/DS/DocumentSearch/DocumentDetail?doc_id=2016100300628001" target="_blank"&gt;Verified by Public Record&lt;/a&gt;</t>
  </si>
  <si>
    <t>&lt;a href="http://a836-acris.nyc.gov/DS/DocumentSearch/DocumentDetail?doc_id=2014121900335001" target="_blank"&gt;Verified by Public Record&lt;/a&gt;</t>
  </si>
  <si>
    <t>&lt;a href="http://a836-acris.nyc.gov/DS/DocumentSearch/DocumentDetail?doc_id=2015011301165001" target="_blank"&gt;Verified by Public Record&lt;/a&gt;</t>
  </si>
  <si>
    <t>&lt;a href="http://a836-acris.nyc.gov/DS/DocumentSearch/DocumentDetail?doc_id=2015062700074001" target="_blank"&gt;Verified by Public Record&lt;/a&gt;</t>
  </si>
  <si>
    <t>&lt;a href="http://a836-acris.nyc.gov/DS/DocumentSearch/DocumentDetail?doc_id=2014121900309001" target="_blank"&gt;Verified by Public Record&lt;/a&gt;</t>
  </si>
  <si>
    <t>&lt;a href="http://a836-acris.nyc.gov/DS/DocumentSearch/DocumentDetail?doc_id=2017092000969001" target="_blank"&gt;Verified by Public Record&lt;/a&gt;</t>
  </si>
  <si>
    <t>&lt;a href="http://a836-acris.nyc.gov/DS/DocumentSearch/DocumentDetail?doc_id=2015031201199001" target="_blank"&gt;Verified by Public Record&lt;/a&gt;</t>
  </si>
  <si>
    <t>&lt;a href="http://a836-acris.nyc.gov/DS/DocumentSearch/DocumentDetail?doc_id=2017051801294001" target="_blank"&gt;Verified by Public Record&lt;/a&gt;</t>
  </si>
  <si>
    <t>Private Terrace
Private Wrap Around Terrace</t>
  </si>
  <si>
    <t>Co-op/Condop/Condo</t>
  </si>
  <si>
    <t>&lt;a href="http://a836-acris.nyc.gov/DS/DocumentSearch/DocumentDetail?doc_id=2020071301019001" target="_blank"&gt;Verified by Public Record&lt;/a&gt;</t>
  </si>
  <si>
    <t>&lt;a href="http://a836-acris.nyc.gov/DS/DocumentSearch/DocumentDetail?doc_id=2015030301407001" target="_blank"&gt;Verified by Public Record&lt;/a&gt;</t>
  </si>
  <si>
    <t>&lt;a href="http://a836-acris.nyc.gov/DS/DocumentSearch/DocumentDetail?doc_id=2015052900546001" target="_blank"&gt;Verified by Public Record&lt;/a&gt;</t>
  </si>
  <si>
    <t>&lt;a href="http://a836-acris.nyc.gov/DS/DocumentSearch/DocumentDetail?doc_id=2015030601169001" target="_blank"&gt;Verified by Public Record&lt;/a&gt;</t>
  </si>
  <si>
    <t>&lt;a href="http://a836-acris.nyc.gov/DS/DocumentSearch/DocumentDetail?doc_id=2015011301144001" target="_blank"&gt;Verified by Public Record&lt;/a&gt;</t>
  </si>
  <si>
    <t>&lt;a href="http://a836-acris.nyc.gov/DS/DocumentSearch/DocumentDetail?doc_id=2015021800802001" target="_blank"&gt;Verified by Public Record&lt;/a&gt;</t>
  </si>
  <si>
    <t>&lt;a href="http://a836-acris.nyc.gov/DS/DocumentSearch/DocumentDetail?doc_id=2015032400472001" target="_blank"&gt;Verified by Public Record&lt;/a&gt;</t>
  </si>
  <si>
    <t>&lt;a href="http://a836-acris.nyc.gov/DS/DocumentSearch/DocumentDetail?doc_id=2015030500737001" target="_blank"&gt;Verified by Public Record&lt;/a&gt;</t>
  </si>
  <si>
    <t>&lt;a href="http://a836-acris.nyc.gov/DS/DocumentSearch/DocumentDetail?doc_id=2015022401199001" target="_blank"&gt;Verified by Public Record&lt;/a&gt;</t>
  </si>
  <si>
    <t>&lt;a href="http://a836-acris.nyc.gov/DS/DocumentSearch/DocumentDetail?doc_id=2015122300254001" target="_blank"&gt;Verified by Public Record&lt;/a&gt;</t>
  </si>
  <si>
    <t>&lt;a href="http://a836-acris.nyc.gov/DS/DocumentSearch/DocumentDetail?doc_id=2015050700546001" target="_blank"&gt;Verified by Public Record&lt;/a&gt;</t>
  </si>
  <si>
    <t>&lt;a href="http://a836-acris.nyc.gov/DS/DocumentSearch/DocumentDetail?doc_id=2016032100671001" target="_blank"&gt;Verified by Public Record&lt;/a&gt;</t>
  </si>
  <si>
    <t>&lt;a href="http://a836-acris.nyc.gov/DS/DocumentSearch/DocumentDetail?doc_id=2015062500394001" target="_blank"&gt;Verified by Public Record&lt;/a&gt;</t>
  </si>
  <si>
    <t>&lt;a href="http://a836-acris.nyc.gov/DS/DocumentSearch/DocumentDetail?doc_id=2015052800336001" target="_blank"&gt;Verified by Public Record&lt;/a&gt;</t>
  </si>
  <si>
    <t>&lt;a href="http://a836-acris.nyc.gov/DS/DocumentSearch/DocumentDetail?doc_id=2015070101680001" target="_blank"&gt;Verified by Public Record&lt;/a&gt;</t>
  </si>
  <si>
    <t>&lt;a href="http://a836-acris.nyc.gov/DS/DocumentSearch/DocumentDetail?doc_id=2016010800887001" target="_blank"&gt;Verified by Public Record&lt;/a&gt;</t>
  </si>
  <si>
    <t>&lt;a href="http://a836-acris.nyc.gov/DS/DocumentSearch/DocumentDetail?doc_id=2015111800549001" target="_blank"&gt;Verified by Public Record&lt;/a&gt;</t>
  </si>
  <si>
    <t>&lt;a href="http://a836-acris.nyc.gov/DS/DocumentSearch/DocumentDetail?doc_id=2015120701357001" target="_blank"&gt;Verified by Public Record&lt;/a&gt;</t>
  </si>
  <si>
    <t>&lt;a href="http://a836-acris.nyc.gov/DS/DocumentSearch/DocumentDetail?doc_id=2016122900257001" target="_blank"&gt;Verified by Public Record&lt;/a&gt;</t>
  </si>
  <si>
    <t>&lt;a href="http://a836-acris.nyc.gov/DS/DocumentSearch/DocumentDetail?doc_id=2016052700792001" target="_blank"&gt;Verified by Public Record&lt;/a&gt;</t>
  </si>
  <si>
    <t>&lt;a href="http://a836-acris.nyc.gov/DS/DocumentSearch/DocumentDetail?doc_id=2015022401044001" target="_blank"&gt;Verified by Public Record&lt;/a&gt;</t>
  </si>
  <si>
    <t>&lt;a href="http://a836-acris.nyc.gov/DS/DocumentSearch/DocumentDetail?doc_id=2019040100278001" target="_blank"&gt;Verified by Public Record&lt;/a&gt;</t>
  </si>
  <si>
    <t>&lt;a href="http://a836-acris.nyc.gov/DS/DocumentSearch/DocumentDetail?doc_id=2021011201416001" target="_blank"&gt;Verified by Public Record&lt;/a&gt;</t>
  </si>
  <si>
    <t>&lt;a href="http://a836-acris.nyc.gov/DS/DocumentSearch/DocumentDetail?doc_id=2017101000601001" target="_blank"&gt;Verified by Public Record&lt;/a&gt;</t>
  </si>
  <si>
    <t>&lt;a href="http://a836-acris.nyc.gov/DS/DocumentSearch/DocumentDetail?doc_id=2018052400609001" target="_blank"&gt;Verified by Public Record&lt;/a&gt;</t>
  </si>
  <si>
    <t>&lt;a href="http://a836-acris.nyc.gov/DS/DocumentSearch/DocumentDetail?doc_id=2019051500787001" target="_blank"&gt;Verified by Public Record&lt;/a&gt;</t>
  </si>
  <si>
    <t>Patio</t>
  </si>
  <si>
    <t>&lt;a href="http://a836-acris.nyc.gov/DS/DocumentSearch/DocumentDetail?doc_id=2014122600209001" target="_blank"&gt;Verified by Public Record&lt;/a&gt;</t>
  </si>
  <si>
    <t>&lt;a href="http://a836-acris.nyc.gov/DS/DocumentSearch/DocumentDetail?doc_id=2018101600525001" target="_blank"&gt;Verified by Public Record&lt;/a&gt;</t>
  </si>
  <si>
    <t>&lt;a href="http://a836-acris.nyc.gov/DS/DocumentSearch/DocumentDetail?doc_id=2015060401113001" target="_blank"&gt;Verified by Public Record&lt;/a&gt;</t>
  </si>
  <si>
    <t>&lt;a href="http://a836-acris.nyc.gov/DS/DocumentSearch/DocumentDetail?doc_id=2015031200738001" target="_blank"&gt;Verified by Public Record&lt;/a&gt;</t>
  </si>
  <si>
    <t>&lt;a href="http://a836-acris.nyc.gov/DS/DocumentSearch/DocumentDetail?doc_id=2015111300832001" target="_blank"&gt;Verified by Public Record&lt;/a&gt;</t>
  </si>
  <si>
    <t>&lt;a href="http://a836-acris.nyc.gov/DS/DocumentSearch/DocumentDetail?doc_id=2015030601059001" target="_blank"&gt;Verified by Public Record&lt;/a&gt;</t>
  </si>
  <si>
    <t>&lt;a href="http://a836-acris.nyc.gov/DS/DocumentSearch/DocumentDetail?doc_id=2015050500683001" target="_blank"&gt;Verified by Public Record&lt;/a&gt;</t>
  </si>
  <si>
    <t>&lt;a href="http://a836-acris.nyc.gov/DS/DocumentSearch/DocumentDetail?doc_id=2015012301149001" target="_blank"&gt;Verified by Public Record&lt;/a&gt;</t>
  </si>
  <si>
    <t>&lt;a href="http://a836-acris.nyc.gov/DS/DocumentSearch/DocumentDetail?doc_id=2015120700516001" target="_blank"&gt;Verified by Public Record&lt;/a&gt;</t>
  </si>
  <si>
    <t>&lt;a href="http://a836-acris.nyc.gov/DS/DocumentSearch/DocumentDetail?doc_id=2021031600535001" target="_blank"&gt;Public Record Only&lt;/a&gt;</t>
  </si>
  <si>
    <t>&lt;a href="http://a836-acris.nyc.gov/DS/DocumentSearch/DocumentDetail?doc_id=2020112501110001" target="_blank"&gt;Public Record Only&lt;/a&gt;</t>
  </si>
  <si>
    <t>&lt;a href="http://a836-acris.nyc.gov/DS/DocumentSearch/DocumentDetail?doc_id=2020122200606001" target="_blank"&gt;Public Record Only&lt;/a&gt;</t>
  </si>
  <si>
    <t>&lt;a href="http://a836-acris.nyc.gov/DS/DocumentSearch/DocumentDetail?doc_id=2021032300916001" target="_blank"&gt;Public Record Only&lt;/a&gt;</t>
  </si>
  <si>
    <t>&lt;a href="http://a836-acris.nyc.gov/DS/DocumentSearch/DocumentDetail?doc_id=2021032900894003" target="_blank"&gt;Public Record Only&lt;/a&gt;</t>
  </si>
  <si>
    <t>&lt;a href="http://a836-acris.nyc.gov/DS/DocumentSearch/DocumentDetail?doc_id=2021032601280001" target="_blank"&gt;Public Record Only&lt;/a&gt;</t>
  </si>
  <si>
    <t>&lt;a href="http://a836-acris.nyc.gov/DS/DocumentSearch/DocumentDetail?doc_id=2021060201281001" target="_blank"&gt;Verified by Public Record&lt;/a&gt;</t>
  </si>
  <si>
    <t>&lt;a href="http://a836-acris.nyc.gov/DS/DocumentSearch/DocumentDetail?doc_id=2021032900636002" target="_blank"&gt;Public Record Only&lt;/a&gt;</t>
  </si>
  <si>
    <t>&lt;a href="http://a836-acris.nyc.gov/DS/DocumentSearch/DocumentDetail?doc_id=2014111700254001" target="_blank"&gt;Verified by Public Record&lt;/a&gt;</t>
  </si>
  <si>
    <t>&lt;a href="http://a836-acris.nyc.gov/DS/DocumentSearch/DocumentDetail?doc_id=2014111300238001" target="_blank"&gt;Verified by Public Record&lt;/a&gt;</t>
  </si>
  <si>
    <t>&lt;a href="http://a836-acris.nyc.gov/DS/DocumentSearch/DocumentDetail?doc_id=2017020701449001" target="_blank"&gt;Public Record Only&lt;/a&gt;</t>
  </si>
  <si>
    <t>&lt;a href="http://a836-acris.nyc.gov/DS/DocumentSearch/DocumentDetail?doc_id=2014120200472001" target="_blank"&gt;Public Record Only&lt;/a&gt;</t>
  </si>
  <si>
    <t>&lt;a href="http://a836-acris.nyc.gov/DS/DocumentSearch/DocumentDetail?doc_id=2014121200631001" target="_blank"&gt;Public Record Only&lt;/a&gt;</t>
  </si>
  <si>
    <t>&lt;a href="http://a836-acris.nyc.gov/DS/DocumentSearch/DocumentDetail?doc_id=2016021602422001" target="_blank"&gt;Public Record Only&lt;/a&gt;</t>
  </si>
  <si>
    <t>&lt;a href="http://a836-acris.nyc.gov/DS/DocumentSearch/DocumentDetail?doc_id=2015020900347001" target="_blank"&gt;Verified by Public Record&lt;/a&gt;</t>
  </si>
  <si>
    <t>&lt;a href="http://a836-acris.nyc.gov/DS/DocumentSearch/DocumentDetail?doc_id=2015061900749002" target="_blank"&gt;Public Record Only&lt;/a&gt;</t>
  </si>
  <si>
    <t>&lt;a href="http://a836-acris.nyc.gov/DS/DocumentSearch/DocumentDetail?doc_id=2014122301227001" target="_blank"&gt;Public Record Only&lt;/a&gt;</t>
  </si>
  <si>
    <t>&lt;a href="http://a836-acris.nyc.gov/DS/DocumentSearch/DocumentDetail?doc_id=2014121200089001" target="_blank"&gt;Public Record Only&lt;/a&gt;</t>
  </si>
  <si>
    <t>&lt;a href="http://a836-acris.nyc.gov/DS/DocumentSearch/DocumentDetail?doc_id=2015010500969001" target="_blank"&gt;Verified by Public Record&lt;/a&gt;</t>
  </si>
  <si>
    <t>&lt;a href="http://a836-acris.nyc.gov/DS/DocumentSearch/DocumentDetail?doc_id=2015060400743001" target="_blank"&gt;Verified by Public Record&lt;/a&gt;</t>
  </si>
  <si>
    <t>&lt;a href="http://a836-acris.nyc.gov/DS/DocumentSearch/DocumentDetail?doc_id=2015011301177001" target="_blank"&gt;Verified by Public Record&lt;/a&gt;</t>
  </si>
  <si>
    <t>&lt;a href="http://a836-acris.nyc.gov/DS/DocumentSearch/DocumentDetail?doc_id=2016072500403001" target="_blank"&gt;Verified by Public Record&lt;/a&gt;</t>
  </si>
  <si>
    <t>&lt;a href="http://a836-acris.nyc.gov/DS/DocumentSearch/DocumentDetail?doc_id=2014120400794001" target="_blank"&gt;Verified by Public Record&lt;/a&gt;</t>
  </si>
  <si>
    <t>&lt;a href="http://a836-acris.nyc.gov/DS/DocumentSearch/DocumentDetail?doc_id=2015051301063001" target="_blank"&gt;Verified by Public Record&lt;/a&gt;</t>
  </si>
  <si>
    <t>&lt;a href="http://a836-acris.nyc.gov/DS/DocumentSearch/DocumentDetail?doc_id=2015022500418001" target="_blank"&gt;Verified by Public Record&lt;/a&gt;</t>
  </si>
  <si>
    <t>&lt;a href="http://a836-acris.nyc.gov/DS/DocumentSearch/DocumentDetail?doc_id=2015060400525001" target="_blank"&gt;Public Record Only&lt;/a&gt;</t>
  </si>
  <si>
    <t>&lt;a href="http://a836-acris.nyc.gov/DS/DocumentSearch/DocumentDetail?doc_id=2014121001243001" target="_blank"&gt;Verified by Public Record&lt;/a&gt;</t>
  </si>
  <si>
    <t>&lt;a href="http://a836-acris.nyc.gov/DS/DocumentSearch/DocumentDetail?doc_id=2015100600846001" target="_blank"&gt;Verified by Public Record&lt;/a&gt;</t>
  </si>
  <si>
    <t>&lt;a href="http://a836-acris.nyc.gov/DS/DocumentSearch/DocumentDetail?doc_id=2015033100461001" target="_blank"&gt;Verified by Public Record&lt;/a&gt;</t>
  </si>
  <si>
    <t>&lt;a href="http://a836-acris.nyc.gov/DS/DocumentSearch/DocumentDetail?doc_id=2015031600778001" target="_blank"&gt;Verified by Public Record&lt;/a&gt;</t>
  </si>
  <si>
    <t>&lt;a href="http://a836-acris.nyc.gov/DS/DocumentSearch/DocumentDetail?doc_id=2014121700195001" target="_blank"&gt;Public Record Only&lt;/a&gt;</t>
  </si>
  <si>
    <t>&lt;a href="http://a836-acris.nyc.gov/DS/DocumentSearch/DocumentDetail?doc_id=2015061600234001" target="_blank"&gt;Public Record Only&lt;/a&gt;</t>
  </si>
  <si>
    <t>&lt;a href="http://a836-acris.nyc.gov/DS/DocumentSearch/DocumentDetail?doc_id=2016051700545001" target="_blank"&gt;Verified by Public Record&lt;/a&gt;</t>
  </si>
  <si>
    <t>&lt;a href="http://a836-acris.nyc.gov/DS/DocumentSearch/DocumentDetail?doc_id=2015121100547001" target="_blank"&gt;Verified by Public Record&lt;/a&gt;</t>
  </si>
  <si>
    <t>&lt;a href="http://a836-acris.nyc.gov/DS/DocumentSearch/DocumentDetail?doc_id=2015042801376001" target="_blank"&gt;Verified by Public Record&lt;/a&gt;</t>
  </si>
  <si>
    <t>&lt;a href="http://a836-acris.nyc.gov/DS/DocumentSearch/DocumentDetail?doc_id=2014121001171001" target="_blank"&gt;Public Record Only&lt;/a&gt;</t>
  </si>
  <si>
    <t>&lt;a href="http://a836-acris.nyc.gov/DS/DocumentSearch/DocumentDetail?doc_id=2015031200968001" target="_blank"&gt;Verified by Public Record&lt;/a&gt;</t>
  </si>
  <si>
    <t>&lt;a href="http://a836-acris.nyc.gov/DS/DocumentSearch/DocumentDetail?doc_id=2015091500826001" target="_blank"&gt;Public Record Only&lt;/a&gt;</t>
  </si>
  <si>
    <t>&lt;a href="http://a836-acris.nyc.gov/DS/DocumentSearch/DocumentDetail?doc_id=2015070101389001" target="_blank"&gt;Public Record Only&lt;/a&gt;</t>
  </si>
  <si>
    <t>&lt;a href="http://a836-acris.nyc.gov/DS/DocumentSearch/DocumentDetail?doc_id=2015062700079001" target="_blank"&gt;Public Record Only&lt;/a&gt;</t>
  </si>
  <si>
    <t>&lt;a href="http://a836-acris.nyc.gov/DS/DocumentSearch/DocumentDetail?doc_id=2015051300787001" target="_blank"&gt;Verified by Public Record&lt;/a&gt;</t>
  </si>
  <si>
    <t>&lt;a href="http://a836-acris.nyc.gov/DS/DocumentSearch/DocumentDetail?doc_id=2014121800182001" target="_blank"&gt;Public Record Only&lt;/a&gt;</t>
  </si>
  <si>
    <t>&lt;a href="http://a836-acris.nyc.gov/DS/DocumentSearch/DocumentDetail?doc_id=2014120100843001" target="_blank"&gt;Public Record Only&lt;/a&gt;</t>
  </si>
  <si>
    <t>&lt;a href="http://a836-acris.nyc.gov/DS/DocumentSearch/DocumentDetail?doc_id=2014123100217001" target="_blank"&gt;Public Record Only&lt;/a&gt;</t>
  </si>
  <si>
    <t>&lt;a href="http://a836-acris.nyc.gov/DS/DocumentSearch/DocumentDetail?doc_id=2015022400259001" target="_blank"&gt;Public Record Only&lt;/a&gt;</t>
  </si>
  <si>
    <t>&lt;a href="http://a836-acris.nyc.gov/DS/DocumentSearch/DocumentDetail?doc_id=2015082100450003" target="_blank"&gt;Verified by Public Record&lt;/a&gt;</t>
  </si>
  <si>
    <t>&lt;a href="http://a836-acris.nyc.gov/DS/DocumentSearch/DocumentDetail?doc_id=2021042801029001" target="_blank"&gt;Public Record Only&lt;/a&gt;</t>
  </si>
  <si>
    <t>&lt;a href="http://a836-acris.nyc.gov/DS/DocumentSearch/DocumentDetail?doc_id=2015033101069001" target="_blank"&gt;Verified by Public Record&lt;/a&gt;</t>
  </si>
  <si>
    <t>&lt;a href="http://a836-acris.nyc.gov/DS/DocumentSearch/DocumentDetail?doc_id=2020112401269001" target="_blank"&gt;Public Record Only&lt;/a&gt;</t>
  </si>
  <si>
    <t>&lt;a href="http://a836-acris.nyc.gov/DS/DocumentSearch/DocumentDetail?doc_id=2021032800103001" target="_blank"&gt;Public Record Only&lt;/a&gt;</t>
  </si>
  <si>
    <t>&lt;a href="http://a836-acris.nyc.gov/DS/DocumentSearch/DocumentDetail?doc_id=2021040501008001" target="_blank"&gt;Public Record Only&lt;/a&gt;</t>
  </si>
  <si>
    <t>&lt;a href="http://a836-acris.nyc.gov/DS/DocumentSearch/DocumentDetail?doc_id=2021040500951001" target="_blank"&gt;Public Record Only&lt;/a&gt;</t>
  </si>
  <si>
    <t>&lt;a href="http://a836-acris.nyc.gov/DS/DocumentSearch/DocumentDetail?doc_id=2021040901233001" target="_blank"&gt;Public Record Only&lt;/a&gt;</t>
  </si>
  <si>
    <t>&lt;a href="http://a836-acris.nyc.gov/DS/DocumentSearch/DocumentDetail?doc_id=2021032401183003" target="_blank"&gt;Public Record Only&lt;/a&gt;</t>
  </si>
  <si>
    <t>&lt;a href="http://a836-acris.nyc.gov/DS/DocumentSearch/DocumentDetail?doc_id=2021070100711002" target="_blank"&gt;Public Record Only&lt;/a&gt;</t>
  </si>
  <si>
    <t>&lt;a href="http://a836-acris.nyc.gov/DS/DocumentSearch/DocumentDetail?doc_id=2021041600203001" target="_blank"&gt;Public Record Only&lt;/a&gt;</t>
  </si>
  <si>
    <t>&lt;a href="http://a836-acris.nyc.gov/DS/DocumentSearch/DocumentDetail?doc_id=2021052800380002" target="_blank"&gt;Public Record Only&lt;/a&gt;</t>
  </si>
  <si>
    <t>&lt;a href="http://a836-acris.nyc.gov/DS/DocumentSearch/DocumentDetail?doc_id=2021062800082002" target="_blank"&gt;Public Record Only&lt;/a&gt;</t>
  </si>
  <si>
    <t>&lt;a href="http://a836-acris.nyc.gov/DS/DocumentSearch/DocumentDetail?doc_id=2015092300453001" target="_blank"&gt;Verified by Public Record&lt;/a&gt;</t>
  </si>
  <si>
    <t>&lt;a href="http://a836-acris.nyc.gov/DS/DocumentSearch/DocumentDetail?doc_id=2020112401518001" target="_blank"&gt;Public Record Only&lt;/a&gt;</t>
  </si>
  <si>
    <t>&lt;a href="http://a836-acris.nyc.gov/DS/DocumentSearch/DocumentDetail?doc_id=2020120901427001" target="_blank"&gt;Public Record Only&lt;/a&gt;</t>
  </si>
  <si>
    <t>&lt;a href="http://a836-acris.nyc.gov/DS/DocumentSearch/DocumentDetail?doc_id=2020120400962002" target="_blank"&gt;Public Record Only&lt;/a&gt;</t>
  </si>
  <si>
    <t>&lt;a href="http://a836-acris.nyc.gov/DS/DocumentSearch/DocumentDetail?doc_id=2020120200817003" target="_blank"&gt;Public Record Only&lt;/a&gt;</t>
  </si>
  <si>
    <t>&lt;a href="http://a836-acris.nyc.gov/DS/DocumentSearch/DocumentDetail?doc_id=2021042101294001" target="_blank"&gt;Public Record Only&lt;/a&gt;</t>
  </si>
  <si>
    <t>&lt;a href="http://a836-acris.nyc.gov/DS/DocumentSearch/DocumentDetail?doc_id=2020110200693001" target="_blank"&gt;Public Record Only&lt;/a&gt;</t>
  </si>
  <si>
    <t>&lt;a href="http://a836-acris.nyc.gov/DS/DocumentSearch/DocumentDetail?doc_id=2020112301139003" target="_blank"&gt;Public Record Only&lt;/a&gt;</t>
  </si>
  <si>
    <t>&lt;a href="http://a836-acris.nyc.gov/DS/DocumentSearch/DocumentDetail?doc_id=2021040800166001" target="_blank"&gt;Public Record Only&lt;/a&gt;</t>
  </si>
  <si>
    <t>&lt;a href="http://a836-acris.nyc.gov/DS/DocumentSearch/DocumentDetail?doc_id=2021033000503001" target="_blank"&gt;Public Record Only&lt;/a&gt;</t>
  </si>
  <si>
    <t>&lt;a href="http://a836-acris.nyc.gov/DS/DocumentSearch/DocumentDetail?doc_id=2021050601240001" target="_blank"&gt;Public Record Only&lt;/a&gt;</t>
  </si>
  <si>
    <t>&lt;a href="http://a836-acris.nyc.gov/DS/DocumentSearch/DocumentDetail?doc_id=2020112500381003" target="_blank"&gt;Public Record Only&lt;/a&gt;</t>
  </si>
  <si>
    <t>&lt;a href="http://a836-acris.nyc.gov/DS/DocumentSearch/DocumentDetail?doc_id=2020112301002003" target="_blank"&gt;Public Record Only&lt;/a&gt;</t>
  </si>
  <si>
    <t>&lt;a href="http://a836-acris.nyc.gov/DS/DocumentSearch/DocumentDetail?doc_id=2021033001468001" target="_blank"&gt;Public Record Only&lt;/a&gt;</t>
  </si>
  <si>
    <t>&lt;a href="http://a836-acris.nyc.gov/DS/DocumentSearch/DocumentDetail?doc_id=2021041601282004" target="_blank"&gt;Public Record Only&lt;/a&gt;</t>
  </si>
  <si>
    <t>&lt;a href="http://a836-acris.nyc.gov/DS/DocumentSearch/DocumentDetail?doc_id=2021061401067003" target="_blank"&gt;Public Record Only&lt;/a&gt;</t>
  </si>
  <si>
    <t>&lt;a href="http://a836-acris.nyc.gov/DS/DocumentSearch/DocumentDetail?doc_id=2021070600237001" target="_blank"&gt;Public Record Only&lt;/a&gt;</t>
  </si>
  <si>
    <t>&lt;a href="http://a836-acris.nyc.gov/DS/DocumentSearch/DocumentDetail?doc_id=2021081000670004" target="_blank"&gt;Public Record Only&lt;/a&gt;</t>
  </si>
  <si>
    <t>Juliet Balcony
Private Outdoor Space</t>
  </si>
  <si>
    <t>&lt;a href="http://a836-acris.nyc.gov/DS/DocumentSearch/DocumentDetail?doc_id=2021072700983001" target="_blank"&gt;Public Record Only&lt;/a&gt;</t>
  </si>
  <si>
    <t>&lt;a href="http://a836-acris.nyc.gov/DS/DocumentSearch/DocumentDetail?doc_id=2020061200591002" target="_blank"&gt;Verified by Public Record&lt;/a&gt;</t>
  </si>
  <si>
    <t>Juliet Balcony
Common Roof Deck</t>
  </si>
  <si>
    <t>&lt;a href="http://a836-acris.nyc.gov/DS/DocumentSearch/DocumentDetail?doc_id=2018080100742001" target="_blank"&gt;Verified by Public Record&lt;/a&gt;</t>
  </si>
  <si>
    <t>&lt;a href="http://a836-acris.nyc.gov/DS/DocumentSearch/DocumentDetail?doc_id=2018071900762001" target="_blank"&gt;Verified by Public Record&lt;/a&gt;</t>
  </si>
  <si>
    <t>&lt;a href="http://a836-acris.nyc.gov/DS/DocumentSearch/DocumentDetail?doc_id=2019101600607001" target="_blank"&gt;Verified by Public Record&lt;/a&gt;</t>
  </si>
  <si>
    <t>&lt;a href="http://a836-acris.nyc.gov/DS/DocumentSearch/DocumentDetail?doc_id=2019101100566001" target="_blank"&gt;Verified by Public Record&lt;/a&gt;</t>
  </si>
  <si>
    <t>&lt;a href="http://a836-acris.nyc.gov/DS/DocumentSearch/DocumentDetail?doc_id=2019100300307001" target="_blank"&gt;Verified by Public Record&lt;/a&gt;</t>
  </si>
  <si>
    <t>&lt;a href="http://a836-acris.nyc.gov/DS/DocumentSearch/DocumentDetail?doc_id=2018070900175001" target="_blank"&gt;Verified by Public Record&lt;/a&gt;</t>
  </si>
  <si>
    <t>&lt;a href="http://a836-acris.nyc.gov/DS/DocumentSearch/DocumentDetail?doc_id=2018080101145001" target="_blank"&gt;Verified by Public Record&lt;/a&gt;</t>
  </si>
  <si>
    <t>&lt;a href="http://a836-acris.nyc.gov/DS/DocumentSearch/DocumentDetail?doc_id=2020042900194002" target="_blank"&gt;Verified by Public Record&lt;/a&gt;</t>
  </si>
  <si>
    <t>&lt;a href="http://a836-acris.nyc.gov/DS/DocumentSearch/DocumentDetail?doc_id=2019101000421001" target="_blank"&gt;Verified by Public Record&lt;/a&gt;</t>
  </si>
  <si>
    <t>&lt;a href="http://a836-acris.nyc.gov/DS/DocumentSearch/DocumentDetail?doc_id=2018072300301001" target="_blank"&gt;Verified by Public Record&lt;/a&gt;</t>
  </si>
  <si>
    <t>&lt;a href="http://a836-acris.nyc.gov/DS/DocumentSearch/DocumentDetail?doc_id=2018082400438001" target="_blank"&gt;Verified by Public Record&lt;/a&gt;</t>
  </si>
  <si>
    <t>&lt;a href="http://a836-acris.nyc.gov/DS/DocumentSearch/DocumentDetail?doc_id=2018102300631002" target="_blank"&gt;Verified by Public Record&lt;/a&gt;</t>
  </si>
  <si>
    <t>&lt;a href="http://a836-acris.nyc.gov/DS/DocumentSearch/DocumentDetail?doc_id=2018101001196001" target="_blank"&gt;Verified by Public Record&lt;/a&gt;</t>
  </si>
  <si>
    <t>&lt;a href="http://a836-acris.nyc.gov/DS/DocumentSearch/DocumentDetail?doc_id=2021022200166002" target="_blank"&gt;Verified by Public Record&lt;/a&gt;</t>
  </si>
  <si>
    <t>&lt;a href="http://a836-acris.nyc.gov/DS/DocumentSearch/DocumentDetail?doc_id=2020010800945001" target="_blank"&gt;Verified by Public Record&lt;/a&gt;</t>
  </si>
  <si>
    <t>&lt;a href="http://a836-acris.nyc.gov/DS/DocumentSearch/DocumentDetail?doc_id=2018072200001002" target="_blank"&gt;Verified by Public Record&lt;/a&gt;</t>
  </si>
  <si>
    <t>&lt;a href="http://a836-acris.nyc.gov/DS/DocumentSearch/DocumentDetail?doc_id=2018070501014001" target="_blank"&gt;Verified by Public Record&lt;/a&gt;</t>
  </si>
  <si>
    <t>&lt;a href="http://a836-acris.nyc.gov/DS/DocumentSearch/DocumentDetail?doc_id=2018070300469004" target="_blank"&gt;Verified by Public Record&lt;/a&gt;</t>
  </si>
  <si>
    <t>&lt;a href="http://a836-acris.nyc.gov/DS/DocumentSearch/DocumentDetail?doc_id=2020011301232001" target="_blank"&gt;Verified by Public Record&lt;/a&gt;</t>
  </si>
  <si>
    <t>&lt;a href="http://a836-acris.nyc.gov/DS/DocumentSearch/DocumentDetail?doc_id=2014081100107001" target="_blank"&gt;Verified by Public Record&lt;/a&gt;</t>
  </si>
  <si>
    <t>Common Roof Deck
Common Outdoor Space
Private Outdoor Space</t>
  </si>
  <si>
    <t>&lt;a href="http://a836-acris.nyc.gov/DS/DocumentSearch/DocumentDetail?doc_id=2014081500528001" target="_blank"&gt;Verified by Public Record&lt;/a&gt;</t>
  </si>
  <si>
    <t>Private Terrace
Deck
Common Roof Deck
Common Outdoor Space
Private Outdoor Space</t>
  </si>
  <si>
    <t>&lt;a href="http://a836-acris.nyc.gov/DS/DocumentSearch/DocumentDetail?doc_id=2019092600688002" target="_blank"&gt;Verified by Public Record&lt;/a&gt;</t>
  </si>
  <si>
    <t>&lt;a href="http://a836-acris.nyc.gov/DS/DocumentSearch/DocumentDetail?doc_id=2018071700381001" target="_blank"&gt;Verified by Public Record&lt;/a&gt;</t>
  </si>
  <si>
    <t>&lt;a href="http://a836-acris.nyc.gov/DS/DocumentSearch/DocumentDetail?doc_id=2018071700859002" target="_blank"&gt;Verified by Public Record&lt;/a&gt;</t>
  </si>
  <si>
    <t>&lt;a href="http://a836-acris.nyc.gov/DS/DocumentSearch/DocumentDetail?doc_id=2019101601270001" target="_blank"&gt;Verified by Public Record&lt;/a&gt;</t>
  </si>
  <si>
    <t>&lt;a href="http://a836-acris.nyc.gov/DS/DocumentSearch/DocumentDetail?doc_id=2018071101153001" target="_blank"&gt;Verified by Public Record&lt;/a&gt;</t>
  </si>
  <si>
    <t>&lt;a href="http://a836-acris.nyc.gov/DS/DocumentSearch/DocumentDetail?doc_id=2018080100411001" target="_blank"&gt;Verified by Public Record&lt;/a&gt;</t>
  </si>
  <si>
    <t>&lt;a href="http://a836-acris.nyc.gov/DS/DocumentSearch/DocumentDetail?doc_id=2020030301136001" target="_blank"&gt;Verified by Public Record&lt;/a&gt;</t>
  </si>
  <si>
    <t>&lt;a href="http://a836-acris.nyc.gov/DS/DocumentSearch/DocumentDetail?doc_id=2018072800007001" target="_blank"&gt;Verified by Public Record&lt;/a&gt;</t>
  </si>
  <si>
    <t>&lt;a href="http://a836-acris.nyc.gov/DS/DocumentSearch/DocumentDetail?doc_id=2019091100010001" target="_blank"&gt;Verified by Public Record&lt;/a&gt;</t>
  </si>
  <si>
    <t>&lt;a href="http://a836-acris.nyc.gov/DS/DocumentSearch/DocumentDetail?doc_id=2014080101150002" target="_blank"&gt;Verified by Public Record&lt;/a&gt;</t>
  </si>
  <si>
    <t>&lt;a href="http://a836-acris.nyc.gov/DS/DocumentSearch/DocumentDetail?doc_id=2014080400391001" target="_blank"&gt;Verified by Public Record&lt;/a&gt;</t>
  </si>
  <si>
    <t>&lt;a href="http://a836-acris.nyc.gov/DS/DocumentSearch/DocumentDetail?doc_id=2019100100728001" target="_blank"&gt;Verified by Public Record&lt;/a&gt;</t>
  </si>
  <si>
    <t>&lt;a href="http://a836-acris.nyc.gov/DS/DocumentSearch/DocumentDetail?doc_id=2020032600174002" target="_blank"&gt;Verified by Public Record&lt;/a&gt;</t>
  </si>
  <si>
    <t>&lt;a href="http://a836-acris.nyc.gov/DS/DocumentSearch/DocumentDetail?doc_id=2017062800415001" target="_blank"&gt;Verified by Public Record&lt;/a&gt;</t>
  </si>
  <si>
    <t>&lt;a href="http://a836-acris.nyc.gov/DS/DocumentSearch/DocumentDetail?doc_id=2016061501121001" target="_blank"&gt;Verified by Public Record&lt;/a&gt;</t>
  </si>
  <si>
    <t>&lt;a href="http://a836-acris.nyc.gov/DS/DocumentSearch/DocumentDetail?doc_id=2015122200050001" target="_blank"&gt;Verified by Public Record&lt;/a&gt;</t>
  </si>
  <si>
    <t>&lt;a href="http://a836-acris.nyc.gov/DS/DocumentSearch/DocumentDetail?doc_id=2016020101247001" target="_blank"&gt;Verified by Public Record&lt;/a&gt;</t>
  </si>
  <si>
    <t>&lt;a href="http://a836-acris.nyc.gov/DS/DocumentSearch/DocumentDetail?doc_id=2017071400153001" target="_blank"&gt;Verified by Public Record&lt;/a&gt;</t>
  </si>
  <si>
    <t>&lt;a href="http://a836-acris.nyc.gov/DS/DocumentSearch/DocumentDetail?doc_id=2018080800614001" target="_blank"&gt;Verified by Public Record&lt;/a&gt;</t>
  </si>
  <si>
    <t>&lt;a href="http://a836-acris.nyc.gov/DS/DocumentSearch/DocumentDetail?doc_id=2019010900080001" target="_blank"&gt;Verified by Public Record&lt;/a&gt;</t>
  </si>
  <si>
    <t>&lt;a href="http://a836-acris.nyc.gov/DS/DocumentSearch/DocumentDetail?doc_id=2016062300335001" target="_blank"&gt;Verified by Public Record&lt;/a&gt;</t>
  </si>
  <si>
    <t>&lt;a href="http://a836-acris.nyc.gov/DS/DocumentSearch/DocumentDetail?doc_id=2019072200568001" target="_blank"&gt;Verified by Public Record&lt;/a&gt;</t>
  </si>
  <si>
    <t>&lt;a href="http://a836-acris.nyc.gov/DS/DocumentSearch/DocumentDetail?doc_id=2019031700001001" target="_blank"&gt;Public Record Only&lt;/a&gt;</t>
  </si>
  <si>
    <t>&lt;a href="http://a836-acris.nyc.gov/DS/DocumentSearch/DocumentDetail?doc_id=2019102400671001" target="_blank"&gt;Public Record Only&lt;/a&gt;</t>
  </si>
  <si>
    <t>&lt;a href="http://a836-acris.nyc.gov/DS/DocumentSearch/DocumentDetail?doc_id=2016020900711001" target="_blank"&gt;Verified by Public Record&lt;/a&gt;</t>
  </si>
  <si>
    <t>&lt;a href="http://a836-acris.nyc.gov/DS/DocumentSearch/DocumentDetail?doc_id=2016011500182001" target="_blank"&gt;Verified by Public Record&lt;/a&gt;</t>
  </si>
  <si>
    <t>&lt;a href="http://a836-acris.nyc.gov/DS/DocumentSearch/DocumentDetail?doc_id=2015121501477001" target="_blank"&gt;Verified by Public Record&lt;/a&gt;</t>
  </si>
  <si>
    <t>&lt;a href="http://a836-acris.nyc.gov/DS/DocumentSearch/DocumentDetail?doc_id=2015122400109001" target="_blank"&gt;Verified by Public Record&lt;/a&gt;</t>
  </si>
  <si>
    <t>&lt;a href="http://a836-acris.nyc.gov/DS/DocumentSearch/DocumentDetail?doc_id=2015122800683001" target="_blank"&gt;Verified by Public Record&lt;/a&gt;</t>
  </si>
  <si>
    <t>&lt;a href="http://a836-acris.nyc.gov/DS/DocumentSearch/DocumentDetail?doc_id=2015122100609001" target="_blank"&gt;Verified by Public Record&lt;/a&gt;</t>
  </si>
  <si>
    <t>&lt;a href="http://a836-acris.nyc.gov/DS/DocumentSearch/DocumentDetail?doc_id=2016081801160001" target="_blank"&gt;Verified by Public Record&lt;/a&gt;</t>
  </si>
  <si>
    <t>&lt;a href="http://a836-acris.nyc.gov/DS/DocumentSearch/DocumentDetail?doc_id=2016012200779001" target="_blank"&gt;Verified by Public Record&lt;/a&gt;</t>
  </si>
  <si>
    <t>&lt;a href="http://a836-acris.nyc.gov/DS/DocumentSearch/DocumentDetail?doc_id=2017062001151002" target="_blank"&gt;Verified by Public Record&lt;/a&gt;</t>
  </si>
  <si>
    <t>&lt;a href="http://a836-acris.nyc.gov/DS/DocumentSearch/DocumentDetail?doc_id=2020100100770001" target="_blank"&gt;Verified by Public Record&lt;/a&gt;</t>
  </si>
  <si>
    <t>&lt;a href="http://a836-acris.nyc.gov/DS/DocumentSearch/DocumentDetail?doc_id=2015121100391001" target="_blank"&gt;Verified by Public Record&lt;/a&gt;</t>
  </si>
  <si>
    <t>Balcony
Private Terrace
Common Outdoor Space</t>
  </si>
  <si>
    <t>&lt;a href="http://a836-acris.nyc.gov/DS/DocumentSearch/DocumentDetail?doc_id=2018010500095001" target="_blank"&gt;Verified by Public Record&lt;/a&gt;</t>
  </si>
  <si>
    <t>Patio
Playground
Common Outdoor Space</t>
  </si>
  <si>
    <t>&lt;a href="http://a836-acris.nyc.gov/DS/DocumentSearch/DocumentDetail?doc_id=2015032500233001" target="_blank"&gt;Verified by Public Record&lt;/a&gt;</t>
  </si>
  <si>
    <t>&lt;a href="http://a836-acris.nyc.gov/DS/DocumentSearch/DocumentDetail?doc_id=2015122200861001" target="_blank"&gt;Verified by Public Record&lt;/a&gt;</t>
  </si>
  <si>
    <t>&lt;a href="http://a836-acris.nyc.gov/DS/DocumentSearch/DocumentDetail?doc_id=2015031601230001" target="_blank"&gt;Verified by Public Record&lt;/a&gt;</t>
  </si>
  <si>
    <t>&lt;a href="http://a836-acris.nyc.gov/DS/DocumentSearch/DocumentDetail?doc_id=2015031601244001" target="_blank"&gt;Verified by Public Record&lt;/a&gt;</t>
  </si>
  <si>
    <t>&lt;a href="http://a836-acris.nyc.gov/DS/DocumentSearch/DocumentDetail?doc_id=2015052600888001" target="_blank"&gt;Verified by Public Record&lt;/a&gt;</t>
  </si>
  <si>
    <t>&lt;a href="http://a836-acris.nyc.gov/DS/DocumentSearch/DocumentDetail?doc_id=2015060100345001" target="_blank"&gt;Verified by Public Record&lt;/a&gt;</t>
  </si>
  <si>
    <t>&lt;a href="http://a836-acris.nyc.gov/DS/DocumentSearch/DocumentDetail?doc_id=2015061800196002" target="_blank"&gt;Verified by Public Record&lt;/a&gt;</t>
  </si>
  <si>
    <t>&lt;a href="http://a836-acris.nyc.gov/DS/DocumentSearch/DocumentDetail?doc_id=2017082200677002" target="_blank"&gt;Verified by Public Record&lt;/a&gt;</t>
  </si>
  <si>
    <t>&lt;a href="http://a836-acris.nyc.gov/DS/DocumentSearch/DocumentDetail?doc_id=2014060400427001" target="_blank"&gt;Verified by Public Record&lt;/a&gt;</t>
  </si>
  <si>
    <t>&lt;a href="http://a836-acris.nyc.gov/DS/DocumentSearch/DocumentDetail?doc_id=2015032301154002" target="_blank"&gt;Verified by Public Record&lt;/a&gt;</t>
  </si>
  <si>
    <t>&lt;a href="http://a836-acris.nyc.gov/DS/DocumentSearch/DocumentDetail?doc_id=2015062401338001" target="_blank"&gt;Verified by Public Record&lt;/a&gt;</t>
  </si>
  <si>
    <t>&lt;a href="http://a836-acris.nyc.gov/DS/DocumentSearch/DocumentDetail?doc_id=2017120600126001" target="_blank"&gt;Verified by Public Record&lt;/a&gt;</t>
  </si>
  <si>
    <t>Patio
Common Outdoor Space</t>
  </si>
  <si>
    <t>&lt;a href="http://a836-acris.nyc.gov/DS/DocumentSearch/DocumentDetail?doc_id=2017091801230001" target="_blank"&gt;Verified by Public Record&lt;/a&gt;</t>
  </si>
  <si>
    <t>&lt;a href="http://a836-acris.nyc.gov/DS/DocumentSearch/DocumentDetail?doc_id=2015012800155003" target="_blank"&gt;Verified by Public Record&lt;/a&gt;</t>
  </si>
  <si>
    <t>&lt;a href="http://a836-acris.nyc.gov/DS/DocumentSearch/DocumentDetail?doc_id=2015041300258001" target="_blank"&gt;Verified by Public Record&lt;/a&gt;</t>
  </si>
  <si>
    <t>&lt;a href="http://a836-acris.nyc.gov/DS/DocumentSearch/DocumentDetail?doc_id=2020042700764004" target="_blank"&gt;Verified by Public Record&lt;/a&gt;</t>
  </si>
  <si>
    <t>&lt;a href="http://a836-acris.nyc.gov/DS/DocumentSearch/DocumentDetail?doc_id=2014061000717001" target="_blank"&gt;Verified by Public Record&lt;/a&gt;</t>
  </si>
  <si>
    <t>&lt;a href="http://a836-acris.nyc.gov/DS/DocumentSearch/DocumentDetail?doc_id=2015031801018002" target="_blank"&gt;Verified by Public Record&lt;/a&gt;</t>
  </si>
  <si>
    <t>&lt;a href="http://a836-acris.nyc.gov/DS/DocumentSearch/DocumentDetail?doc_id=2015031600402002" target="_blank"&gt;Verified by Public Record&lt;/a&gt;</t>
  </si>
  <si>
    <t>&lt;a href="http://a836-acris.nyc.gov/DS/DocumentSearch/DocumentDetail?doc_id=2015032701176003" target="_blank"&gt;Verified by Public Record&lt;/a&gt;</t>
  </si>
  <si>
    <t>&lt;a href="http://a836-acris.nyc.gov/DS/DocumentSearch/DocumentDetail?doc_id=2015051501489003" target="_blank"&gt;Verified by Public Record&lt;/a&gt;</t>
  </si>
  <si>
    <t>&lt;a href="http://a836-acris.nyc.gov/DS/DocumentSearch/DocumentDetail?doc_id=2015040800996003" target="_blank"&gt;Verified by Public Record&lt;/a&gt;</t>
  </si>
  <si>
    <t>&lt;a href="http://a836-acris.nyc.gov/DS/DocumentSearch/DocumentDetail?doc_id=2018062101335002" target="_blank"&gt;Verified by Public Record&lt;/a&gt;</t>
  </si>
  <si>
    <t>&lt;a href="http://a836-acris.nyc.gov/DS/DocumentSearch/DocumentDetail?doc_id=2015082501137002" target="_blank"&gt;Verified by Public Record&lt;/a&gt;</t>
  </si>
  <si>
    <t>&lt;a href="http://a836-acris.nyc.gov/DS/DocumentSearch/DocumentDetail?doc_id=2014050700903001" target="_blank"&gt;Verified by Public Record&lt;/a&gt;</t>
  </si>
  <si>
    <t>&lt;a href="http://a836-acris.nyc.gov/DS/DocumentSearch/DocumentDetail?doc_id=2014042301376001" target="_blank"&gt;Verified by Public Record&lt;/a&gt;</t>
  </si>
  <si>
    <t>&lt;a href="http://a836-acris.nyc.gov/DS/DocumentSearch/DocumentDetail?doc_id=2014051900027001" target="_blank"&gt;Verified by Public Record&lt;/a&gt;</t>
  </si>
  <si>
    <t>&lt;a href="http://a836-acris.nyc.gov/DS/DocumentSearch/DocumentDetail?doc_id=2019021300020002" target="_blank"&gt;Verified by Public Record&lt;/a&gt;</t>
  </si>
  <si>
    <t>&lt;a href="http://a836-acris.nyc.gov/DS/DocumentSearch/DocumentDetail?doc_id=2019050200423001" target="_blank"&gt;Verified by Public Record&lt;/a&gt;</t>
  </si>
  <si>
    <t>Playground
Common Garden</t>
  </si>
  <si>
    <t>Doorman, Remote Doorman</t>
  </si>
  <si>
    <t>&lt;a href="http://a836-acris.nyc.gov/DS/DocumentSearch/DocumentDetail?doc_id=2014052701663001" target="_blank"&gt;Verified by Public Record&lt;/a&gt;</t>
  </si>
  <si>
    <t>&lt;a href="http://a836-acris.nyc.gov/DS/DocumentSearch/DocumentDetail?doc_id=2014061800897002" target="_blank"&gt;Verified by Public Record&lt;/a&gt;</t>
  </si>
  <si>
    <t>&lt;a href="http://a836-acris.nyc.gov/DS/DocumentSearch/DocumentDetail?doc_id=2014072100274001" target="_blank"&gt;Verified by Public Record&lt;/a&gt;</t>
  </si>
  <si>
    <t>&lt;a href="http://a836-acris.nyc.gov/DS/DocumentSearch/DocumentDetail?doc_id=2017022101546005" target="_blank"&gt;Verified by Public Record&lt;/a&gt;</t>
  </si>
  <si>
    <t>&lt;a href="http://a836-acris.nyc.gov/DS/DocumentSearch/DocumentDetail?doc_id=2016071400100002" target="_blank"&gt;Verified by Public Record&lt;/a&gt;</t>
  </si>
  <si>
    <t>&lt;a href="http://a836-acris.nyc.gov/DS/DocumentSearch/DocumentDetail?doc_id=2014052100266001" target="_blank"&gt;Verified by Public Record&lt;/a&gt;</t>
  </si>
  <si>
    <t>&lt;a href="http://a836-acris.nyc.gov/DS/DocumentSearch/DocumentDetail?doc_id=2017122200940003" target="_blank"&gt;Verified by Public Record&lt;/a&gt;</t>
  </si>
  <si>
    <t>&lt;a href="http://a836-acris.nyc.gov/DS/DocumentSearch/DocumentDetail?doc_id=2014062700959001" target="_blank"&gt;Verified by Public Record&lt;/a&gt;</t>
  </si>
  <si>
    <t>&lt;a href="http://a836-acris.nyc.gov/DS/DocumentSearch/DocumentDetail?doc_id=2014052101270001" target="_blank"&gt;Verified by Public Record&lt;/a&gt;</t>
  </si>
  <si>
    <t>&lt;a href="http://a836-acris.nyc.gov/DS/DocumentSearch/DocumentDetail?doc_id=2015082501560001" target="_blank"&gt;Verified by Public Record&lt;/a&gt;</t>
  </si>
  <si>
    <t>&lt;a href="http://a836-acris.nyc.gov/DS/DocumentSearch/DocumentDetail?doc_id=2016040600174001" target="_blank"&gt;Verified by Public Record&lt;/a&gt;</t>
  </si>
  <si>
    <t>&lt;a href="http://a836-acris.nyc.gov/DS/DocumentSearch/DocumentDetail?doc_id=2014070900261001" target="_blank"&gt;Verified by Public Record&lt;/a&gt;</t>
  </si>
  <si>
    <t>&lt;a href="http://a836-acris.nyc.gov/DS/DocumentSearch/DocumentDetail?doc_id=2014062300096001" target="_blank"&gt;Verified by Public Record&lt;/a&gt;</t>
  </si>
  <si>
    <t>&lt;a href="http://a836-acris.nyc.gov/DS/DocumentSearch/DocumentDetail?doc_id=2018051500914001" target="_blank"&gt;Verified by Public Record&lt;/a&gt;</t>
  </si>
  <si>
    <t>&lt;a href="http://a836-acris.nyc.gov/DS/DocumentSearch/DocumentDetail?doc_id=2016091600673002" target="_blank"&gt;Verified by Public Record&lt;/a&gt;</t>
  </si>
  <si>
    <t>&lt;a href="http://a836-acris.nyc.gov/DS/DocumentSearch/DocumentDetail?doc_id=2015032800083001" target="_blank"&gt;Verified by Public Record&lt;/a&gt;</t>
  </si>
  <si>
    <t>&lt;a href="http://a836-acris.nyc.gov/DS/DocumentSearch/DocumentDetail?doc_id=2015042301339001" target="_blank"&gt;Verified by Public Record&lt;/a&gt;</t>
  </si>
  <si>
    <t>&lt;a href="http://a836-acris.nyc.gov/DS/DocumentSearch/DocumentDetail?doc_id=2015081201371001" target="_blank"&gt;Verified by Public Record&lt;/a&gt;</t>
  </si>
  <si>
    <t>&lt;a href="http://a836-acris.nyc.gov/DS/DocumentSearch/DocumentDetail?doc_id=2015050800344003" target="_blank"&gt;Verified by Public Record&lt;/a&gt;</t>
  </si>
  <si>
    <t>&lt;a href="http://a836-acris.nyc.gov/DS/DocumentSearch/DocumentDetail?doc_id=2015052000874001" target="_blank"&gt;Verified by Public Record&lt;/a&gt;</t>
  </si>
  <si>
    <t>&lt;a href="http://a836-acris.nyc.gov/DS/DocumentSearch/DocumentDetail?doc_id=2019021300395001" target="_blank"&gt;Verified by Public Record&lt;/a&gt;</t>
  </si>
  <si>
    <t>&lt;a href="http://a836-acris.nyc.gov/DS/DocumentSearch/DocumentDetail?doc_id=2019050700338001" target="_blank"&gt;Verified by Public Record&lt;/a&gt;</t>
  </si>
  <si>
    <t>&lt;a href="http://a836-acris.nyc.gov/DS/DocumentSearch/DocumentDetail?doc_id=2019020700592005" target="_blank"&gt;Verified by Public Record&lt;/a&gt;</t>
  </si>
  <si>
    <t>Private Patio
Common Outdoor Space
Private Outdoor Space</t>
  </si>
  <si>
    <t>&lt;a href="http://a836-acris.nyc.gov/DS/DocumentSearch/DocumentDetail?doc_id=2015031700443001" target="_blank"&gt;Verified by Public Record&lt;/a&gt;</t>
  </si>
  <si>
    <t>&lt;a href="http://a836-acris.nyc.gov/DS/DocumentSearch/DocumentDetail?doc_id=2015022601112001" target="_blank"&gt;Verified by Public Record&lt;/a&gt;</t>
  </si>
  <si>
    <t>&lt;a href="http://a836-acris.nyc.gov/DS/DocumentSearch/DocumentDetail?doc_id=2015050700873001" target="_blank"&gt;Verified by Public Record&lt;/a&gt;</t>
  </si>
  <si>
    <t>&lt;a href="http://a836-acris.nyc.gov/DS/DocumentSearch/DocumentDetail?doc_id=2014061601275001" target="_blank"&gt;Verified by Public Record&lt;/a&gt;</t>
  </si>
  <si>
    <t>&lt;a href="http://a836-acris.nyc.gov/DS/DocumentSearch/DocumentDetail?doc_id=2015020900931001" target="_blank"&gt;Verified by Public Record&lt;/a&gt;</t>
  </si>
  <si>
    <t>&lt;a href="http://a836-acris.nyc.gov/DS/DocumentSearch/DocumentDetail?doc_id=2015011600763003" target="_blank"&gt;Verified by Public Record&lt;/a&gt;</t>
  </si>
  <si>
    <t>&lt;a href="http://a836-acris.nyc.gov/DS/DocumentSearch/DocumentDetail?doc_id=2015032800061001" target="_blank"&gt;Verified by Public Record&lt;/a&gt;</t>
  </si>
  <si>
    <t>&lt;a href="http://a836-acris.nyc.gov/DS/DocumentSearch/DocumentDetail?doc_id=2017101600571001" target="_blank"&gt;Verified by Public Record&lt;/a&gt;</t>
  </si>
  <si>
    <t>&lt;a href="http://a836-acris.nyc.gov/DS/DocumentSearch/DocumentDetail?doc_id=2015032800076001" target="_blank"&gt;Verified by Public Record&lt;/a&gt;</t>
  </si>
  <si>
    <t>&lt;a href="http://a836-acris.nyc.gov/DS/DocumentSearch/DocumentDetail?doc_id=2015033000728001" target="_blank"&gt;Verified by Public Record&lt;/a&gt;</t>
  </si>
  <si>
    <t>&lt;a href="http://a836-acris.nyc.gov/DS/DocumentSearch/DocumentDetail?doc_id=2019090300772001" target="_blank"&gt;Public Record Only&lt;/a&gt;</t>
  </si>
  <si>
    <t>&lt;a href="http://a836-acris.nyc.gov/DS/DocumentSearch/DocumentDetail?doc_id=2015032800079001" target="_blank"&gt;Verified by Public Record&lt;/a&gt;</t>
  </si>
  <si>
    <t>&lt;a href="http://a836-acris.nyc.gov/DS/DocumentSearch/DocumentDetail?doc_id=2016061701605001" target="_blank"&gt;Verified by Public Record&lt;/a&gt;</t>
  </si>
  <si>
    <t>&lt;a href="http://a836-acris.nyc.gov/DS/DocumentSearch/DocumentDetail?doc_id=2015031000491001" target="_blank"&gt;Verified by Public Record&lt;/a&gt;</t>
  </si>
  <si>
    <t>&lt;a href="http://a836-acris.nyc.gov/DS/DocumentSearch/DocumentDetail?doc_id=2015092201555001" target="_blank"&gt;Public Record Only&lt;/a&gt;</t>
  </si>
  <si>
    <t>&lt;a href="http://a836-acris.nyc.gov/DS/DocumentSearch/DocumentDetail?doc_id=2015020300155001" target="_blank"&gt;Public Record Only&lt;/a&gt;</t>
  </si>
  <si>
    <t>&lt;a href="http://a836-acris.nyc.gov/DS/DocumentSearch/DocumentDetail?doc_id=2015072000033002" target="_blank"&gt;Verified by Public Record&lt;/a&gt;</t>
  </si>
  <si>
    <t>&lt;a href="http://a836-acris.nyc.gov/DS/DocumentSearch/DocumentDetail?doc_id=2015100600146001" target="_blank"&gt;Verified by Public Record&lt;/a&gt;</t>
  </si>
  <si>
    <t>&lt;a href="http://a836-acris.nyc.gov/DS/DocumentSearch/DocumentDetail?doc_id=2015060400833001" target="_blank"&gt;Verified by Public Record&lt;/a&gt;</t>
  </si>
  <si>
    <t>&lt;a href="http://a836-acris.nyc.gov/DS/DocumentSearch/DocumentDetail?doc_id=2015022800048002" target="_blank"&gt;Verified by Public Record&lt;/a&gt;</t>
  </si>
  <si>
    <t>&lt;a href="http://a836-acris.nyc.gov/DS/DocumentSearch/DocumentDetail?doc_id=2015022400951001" target="_blank"&gt;Verified by Public Record&lt;/a&gt;</t>
  </si>
  <si>
    <t>&lt;a href="http://a836-acris.nyc.gov/DS/DocumentSearch/DocumentDetail?doc_id=2015011200874001" target="_blank"&gt;Verified by Public Record&lt;/a&gt;</t>
  </si>
  <si>
    <t>&lt;a href="http://a836-acris.nyc.gov/DS/DocumentSearch/DocumentDetail?doc_id=2014122300699003" target="_blank"&gt;Verified by Public Record&lt;/a&gt;</t>
  </si>
  <si>
    <t>&lt;a href="http://a836-acris.nyc.gov/DS/DocumentSearch/DocumentDetail?doc_id=2020112000355001" target="_blank"&gt;Verified by Public Record&lt;/a&gt;</t>
  </si>
  <si>
    <t>&lt;a href="http://a836-acris.nyc.gov/DS/DocumentSearch/DocumentDetail?doc_id=2018030201134001" target="_blank"&gt;Verified by Public Record&lt;/a&gt;</t>
  </si>
  <si>
    <t>Deck
Common Roof Deck
Common Outdoor Space</t>
  </si>
  <si>
    <t>&lt;a href="http://a836-acris.nyc.gov/DS/DocumentSearch/DocumentDetail?doc_id=2015070601290001" target="_blank"&gt;Verified by Public Record&lt;/a&gt;</t>
  </si>
  <si>
    <t>&lt;a href="http://a836-acris.nyc.gov/DS/DocumentSearch/DocumentDetail?doc_id=2015032600144001" target="_blank"&gt;Verified by Public Record&lt;/a&gt;</t>
  </si>
  <si>
    <t>&lt;a href="http://a836-acris.nyc.gov/DS/DocumentSearch/DocumentDetail?doc_id=2015123000537001" target="_blank"&gt;Verified by Public Record&lt;/a&gt;</t>
  </si>
  <si>
    <t>&lt;a href="http://a836-acris.nyc.gov/DS/DocumentSearch/DocumentDetail?doc_id=2016122300771002" target="_blank"&gt;Verified by Public Record&lt;/a&gt;</t>
  </si>
  <si>
    <t>&lt;a href="http://a836-acris.nyc.gov/DS/DocumentSearch/DocumentDetail?doc_id=2015011601136001" target="_blank"&gt;Verified by Public Record&lt;/a&gt;</t>
  </si>
  <si>
    <t>&lt;a href="http://a836-acris.nyc.gov/DS/DocumentSearch/DocumentDetail?doc_id=2015050500556001" target="_blank"&gt;Public Record Only&lt;/a&gt;</t>
  </si>
  <si>
    <t>&lt;a href="http://a836-acris.nyc.gov/DS/DocumentSearch/DocumentDetail?doc_id=2015033100199002" target="_blank"&gt;Verified by Public Record&lt;/a&gt;</t>
  </si>
  <si>
    <t>&lt;a href="http://a836-acris.nyc.gov/DS/DocumentSearch/DocumentDetail?doc_id=2019021400549001" target="_blank"&gt;Verified by Public Record&lt;/a&gt;</t>
  </si>
  <si>
    <t>&lt;a href="http://a836-acris.nyc.gov/DS/DocumentSearch/DocumentDetail?doc_id=2021063001521001" target="_blank"&gt;Verified by Public Record&lt;/a&gt;</t>
  </si>
  <si>
    <t>&lt;a href="http://a836-acris.nyc.gov/DS/DocumentSearch/DocumentDetail?doc_id=2015020901057001" target="_blank"&gt;Verified by Public Record&lt;/a&gt;</t>
  </si>
  <si>
    <t>&lt;a href="http://a836-acris.nyc.gov/DS/DocumentSearch/DocumentDetail?doc_id=2018053100249001" target="_blank"&gt;Verified by Public Record&lt;/a&gt;</t>
  </si>
  <si>
    <t>&lt;a href="http://a836-acris.nyc.gov/DS/DocumentSearch/DocumentDetail?doc_id=2015080401248001" target="_blank"&gt;Verified by Public Record&lt;/a&gt;</t>
  </si>
  <si>
    <t>&lt;a href="http://a836-acris.nyc.gov/DS/DocumentSearch/DocumentDetail?doc_id=2015011200827002" target="_blank"&gt;Verified by Public Record&lt;/a&gt;</t>
  </si>
  <si>
    <t>&lt;a href="http://a836-acris.nyc.gov/DS/DocumentSearch/DocumentDetail?doc_id=2015012200238002" target="_blank"&gt;Verified by Public Record&lt;/a&gt;</t>
  </si>
  <si>
    <t>&lt;a href="http://a836-acris.nyc.gov/DS/DocumentSearch/DocumentDetail?doc_id=2016072001123004" target="_blank"&gt;Verified by Public Record&lt;/a&gt;</t>
  </si>
  <si>
    <t>&lt;a href="http://a836-acris.nyc.gov/DS/DocumentSearch/DocumentDetail?doc_id=2014122600728001" target="_blank"&gt;Verified by Public Record&lt;/a&gt;</t>
  </si>
  <si>
    <t>&lt;a href="http://a836-acris.nyc.gov/DS/DocumentSearch/DocumentDetail?doc_id=2015031201152002" target="_blank"&gt;Verified by Public Record&lt;/a&gt;</t>
  </si>
  <si>
    <t>&lt;a href="http://a836-acris.nyc.gov/DS/DocumentSearch/DocumentDetail?doc_id=2014122200041003" target="_blank"&gt;Verified by Public Record&lt;/a&gt;</t>
  </si>
  <si>
    <t>&lt;a href="http://a836-acris.nyc.gov/DS/DocumentSearch/DocumentDetail?doc_id=2018041000837002" target="_blank"&gt;Verified by Public Record&lt;/a&gt;</t>
  </si>
  <si>
    <t>&lt;a href="http://a836-acris.nyc.gov/DS/DocumentSearch/DocumentDetail?doc_id=2015033000958004" target="_blank"&gt;Verified by Public Record&lt;/a&gt;</t>
  </si>
  <si>
    <t>&lt;a href="http://a836-acris.nyc.gov/DS/DocumentSearch/DocumentDetail?doc_id=2015010601105001" target="_blank"&gt;Verified by Public Record&lt;/a&gt;</t>
  </si>
  <si>
    <t>&lt;a href="http://a836-acris.nyc.gov/DS/DocumentSearch/DocumentDetail?doc_id=2015031801301002" target="_blank"&gt;Verified by Public Record&lt;/a&gt;</t>
  </si>
  <si>
    <t>&lt;a href="http://a836-acris.nyc.gov/DS/DocumentSearch/DocumentDetail?doc_id=2018072300898002" target="_blank"&gt;Verified by Public Record&lt;/a&gt;</t>
  </si>
  <si>
    <t>&lt;a href="http://a836-acris.nyc.gov/DS/DocumentSearch/DocumentDetail?doc_id=2015032000340002" target="_blank"&gt;Verified by Public Record&lt;/a&gt;</t>
  </si>
  <si>
    <t>&lt;a href="http://a836-acris.nyc.gov/DS/DocumentSearch/DocumentDetail?doc_id=2015031701037002" target="_blank"&gt;Verified by Public Record&lt;/a&gt;</t>
  </si>
  <si>
    <t>&lt;a href="http://a836-acris.nyc.gov/DS/DocumentSearch/DocumentDetail?doc_id=2015072300057001" target="_blank"&gt;Verified by Public Record&lt;/a&gt;</t>
  </si>
  <si>
    <t>&lt;a href="http://a836-acris.nyc.gov/DS/DocumentSearch/DocumentDetail?doc_id=2017092200311001" target="_blank"&gt;Verified by Public Record&lt;/a&gt;</t>
  </si>
  <si>
    <t>&lt;a href="http://a836-acris.nyc.gov/DS/DocumentSearch/DocumentDetail?doc_id=2017040500277001" target="_blank"&gt;Verified by Public Record&lt;/a&gt;</t>
  </si>
  <si>
    <t>Private Terrace
Common Outdoor Space
Private Outdoor Space
Back Yard</t>
  </si>
  <si>
    <t>&lt;a href="http://a836-acris.nyc.gov/DS/DocumentSearch/DocumentDetail?doc_id=2015013000386001" target="_blank"&gt;Verified by Public Record&lt;/a&gt;</t>
  </si>
  <si>
    <t>&lt;a href="http://a836-acris.nyc.gov/DS/DocumentSearch/DocumentDetail?doc_id=2015012100448001" target="_blank"&gt;Verified by Public Record&lt;/a&gt;</t>
  </si>
  <si>
    <t>&lt;a href="http://a836-acris.nyc.gov/DS/DocumentSearch/DocumentDetail?doc_id=2019011500404001" target="_blank"&gt;Verified by Public Record&lt;/a&gt;</t>
  </si>
  <si>
    <t>&lt;a href="http://a836-acris.nyc.gov/DS/DocumentSearch/DocumentDetail?doc_id=2017021300481001" target="_blank"&gt;Verified by Public Record&lt;/a&gt;</t>
  </si>
  <si>
    <t>&lt;a href="http://a836-acris.nyc.gov/DS/DocumentSearch/DocumentDetail?doc_id=2016042500485002" target="_blank"&gt;Verified by Public Record&lt;/a&gt;</t>
  </si>
  <si>
    <t>&lt;a href="http://a836-acris.nyc.gov/DS/DocumentSearch/DocumentDetail?doc_id=2016062002569001" target="_blank"&gt;Verified by Public Record&lt;/a&gt;</t>
  </si>
  <si>
    <t>&lt;a href="http://a836-acris.nyc.gov/DS/DocumentSearch/DocumentDetail?doc_id=2016021601336001" target="_blank"&gt;Verified by Public Record&lt;/a&gt;</t>
  </si>
  <si>
    <t>&lt;a href="http://a836-acris.nyc.gov/DS/DocumentSearch/DocumentDetail?doc_id=2015021900854003" target="_blank"&gt;Verified by Public Record&lt;/a&gt;</t>
  </si>
  <si>
    <t>Private Terrace
Private Wrap Around Terrace
Roof Deck
Common Roof Deck
Common Outdoor Space
Private Outdoor Space</t>
  </si>
  <si>
    <t>&lt;a href="http://a836-acris.nyc.gov/DS/DocumentSearch/DocumentDetail?doc_id=2015031701134001" target="_blank"&gt;Verified by Public Record&lt;/a&gt;</t>
  </si>
  <si>
    <t>&lt;a href="http://a836-acris.nyc.gov/DS/DocumentSearch/DocumentDetail?doc_id=2015031800929001" target="_blank"&gt;Verified by Public Record&lt;/a&gt;</t>
  </si>
  <si>
    <t>&lt;a href="http://a836-acris.nyc.gov/DS/DocumentSearch/DocumentDetail?doc_id=2016042700406001" target="_blank"&gt;Verified by Public Record&lt;/a&gt;</t>
  </si>
  <si>
    <t>Balcony
Private Terrace
Deck
Common Roof Deck
Common Outdoor Space
Private Outdoor Space</t>
  </si>
  <si>
    <t>&lt;a href="http://a836-acris.nyc.gov/DS/DocumentSearch/DocumentDetail?doc_id=2016051101058002" target="_blank"&gt;Verified by Public Record&lt;/a&gt;</t>
  </si>
  <si>
    <t>&lt;a href="http://a836-acris.nyc.gov/DS/DocumentSearch/DocumentDetail?doc_id=2016051300494001" target="_blank"&gt;Verified by Public Record&lt;/a&gt;</t>
  </si>
  <si>
    <t>&lt;a href="http://a836-acris.nyc.gov/DS/DocumentSearch/DocumentDetail?doc_id=2016050300973006" target="_blank"&gt;Verified by Public Record&lt;/a&gt;</t>
  </si>
  <si>
    <t>&lt;a href="http://a836-acris.nyc.gov/DS/DocumentSearch/DocumentDetail?doc_id=2015112600045002" target="_blank"&gt;Verified by Public Record&lt;/a&gt;</t>
  </si>
  <si>
    <t>&lt;a href="http://a836-acris.nyc.gov/DS/DocumentSearch/DocumentDetail?doc_id=2015011700041001" target="_blank"&gt;Verified by Public Record&lt;/a&gt;</t>
  </si>
  <si>
    <t>&lt;a href="http://a836-acris.nyc.gov/DS/DocumentSearch/DocumentDetail?doc_id=2015040201063001" target="_blank"&gt;Verified by Public Record&lt;/a&gt;</t>
  </si>
  <si>
    <t>&lt;a href="http://a836-acris.nyc.gov/DS/DocumentSearch/DocumentDetail?doc_id=2015031600884001" target="_blank"&gt;Verified by Public Record&lt;/a&gt;</t>
  </si>
  <si>
    <t>&lt;a href="http://a836-acris.nyc.gov/DS/DocumentSearch/DocumentDetail?doc_id=2015010100027003" target="_blank"&gt;Verified by Public Record&lt;/a&gt;</t>
  </si>
  <si>
    <t>&lt;a href="http://a836-acris.nyc.gov/DS/DocumentSearch/DocumentDetail?doc_id=2015020300902001" target="_blank"&gt;Verified by Public Record&lt;/a&gt;</t>
  </si>
  <si>
    <t>&lt;a href="http://a836-acris.nyc.gov/DS/DocumentSearch/DocumentDetail?doc_id=2016050300361001" target="_blank"&gt;Verified by Public Record&lt;/a&gt;</t>
  </si>
  <si>
    <t>&lt;a href="http://a836-acris.nyc.gov/DS/DocumentSearch/DocumentDetail?doc_id=2016042000329002" target="_blank"&gt;Verified by Public Record&lt;/a&gt;</t>
  </si>
  <si>
    <t>&lt;a href="http://a836-acris.nyc.gov/DS/DocumentSearch/DocumentDetail?doc_id=2016050400424001" target="_blank"&gt;Verified by Public Record&lt;/a&gt;</t>
  </si>
  <si>
    <t>&lt;a href="http://a836-acris.nyc.gov/DS/DocumentSearch/DocumentDetail?doc_id=2016052400835003" target="_blank"&gt;Verified by Public Record&lt;/a&gt;</t>
  </si>
  <si>
    <t>&lt;a href="http://a836-acris.nyc.gov/DS/DocumentSearch/DocumentDetail?doc_id=2021050400524001" target="_blank"&gt;Verified by Public Record&lt;/a&gt;</t>
  </si>
  <si>
    <t>&lt;a href="http://a836-acris.nyc.gov/DS/DocumentSearch/DocumentDetail?doc_id=2020052700601001" target="_blank"&gt;Verified by Public Record&lt;/a&gt;</t>
  </si>
  <si>
    <t>Private Terrace
Private Roof Deck
Common Roof Deck
Private Outdoor Space</t>
  </si>
  <si>
    <t>Washington Heights</t>
  </si>
  <si>
    <t>&lt;a href="http://a836-acris.nyc.gov/DS/DocumentSearch/DocumentDetail?doc_id=2019091101146001" target="_blank"&gt;Verified by Public Record&lt;/a&gt;</t>
  </si>
  <si>
    <t>&lt;a href="http://a836-acris.nyc.gov/DS/DocumentSearch/DocumentDetail?doc_id=2015122100020001" target="_blank"&gt;Verified by Public Record&lt;/a&gt;</t>
  </si>
  <si>
    <t>&lt;a href="http://a836-acris.nyc.gov/DS/DocumentSearch/DocumentDetail?doc_id=2018053000913001" target="_blank"&gt;Verified by Public Record&lt;/a&gt;</t>
  </si>
  <si>
    <t>&lt;a href="http://a836-acris.nyc.gov/DS/DocumentSearch/DocumentDetail?doc_id=2020013100552001" target="_blank"&gt;Verified by Public Record&lt;/a&gt;</t>
  </si>
  <si>
    <t>&lt;a href="http://a836-acris.nyc.gov/DS/DocumentSearch/DocumentDetail?doc_id=2016010700061003" target="_blank"&gt;Verified by Public Record&lt;/a&gt;</t>
  </si>
  <si>
    <t>&lt;a href="http://a836-acris.nyc.gov/DS/DocumentSearch/DocumentDetail?doc_id=2015081801127001" target="_blank"&gt;Verified by Public Record&lt;/a&gt;</t>
  </si>
  <si>
    <t>&lt;a href="http://a836-acris.nyc.gov/DS/DocumentSearch/DocumentDetail?doc_id=2021062500896001" target="_blank"&gt;Verified by Public Record&lt;/a&gt;</t>
  </si>
  <si>
    <t>&lt;a href="http://a836-acris.nyc.gov/DS/DocumentSearch/DocumentDetail?doc_id=2020111000586003" target="_blank"&gt;Verified by Public Record&lt;/a&gt;</t>
  </si>
  <si>
    <t>&lt;a href="http://a836-acris.nyc.gov/DS/DocumentSearch/DocumentDetail?doc_id=2018012200120002" target="_blank"&gt;Verified by Public Record&lt;/a&gt;</t>
  </si>
  <si>
    <t>&lt;a href="http://a836-acris.nyc.gov/DS/DocumentSearch/DocumentDetail?doc_id=2017030201001001" target="_blank"&gt;Verified by Public Record&lt;/a&gt;</t>
  </si>
  <si>
    <t>&lt;a href="http://a836-acris.nyc.gov/DS/DocumentSearch/DocumentDetail?doc_id=2018011800235002" target="_blank"&gt;Verified by Public Record&lt;/a&gt;</t>
  </si>
  <si>
    <t>&lt;a href="http://a836-acris.nyc.gov/DS/DocumentSearch/DocumentDetail?doc_id=2017030300333001" target="_blank"&gt;Verified by Public Record&lt;/a&gt;</t>
  </si>
  <si>
    <t>&lt;a href="http://a836-acris.nyc.gov/DS/DocumentSearch/DocumentDetail?doc_id=2014122300645001" target="_blank"&gt;Verified by Public Record&lt;/a&gt;</t>
  </si>
  <si>
    <t>&lt;a href="http://a836-acris.nyc.gov/DS/DocumentSearch/DocumentDetail?doc_id=2016012100640002" target="_blank"&gt;Verified by Public Record&lt;/a&gt;</t>
  </si>
  <si>
    <t>&lt;a href="http://a836-acris.nyc.gov/DS/DocumentSearch/DocumentDetail?doc_id=2015111800129001" target="_blank"&gt;Verified by Public Record&lt;/a&gt;</t>
  </si>
  <si>
    <t>&lt;a href="http://a836-acris.nyc.gov/DS/DocumentSearch/DocumentDetail?doc_id=2015111000888001" target="_blank"&gt;Verified by Public Record&lt;/a&gt;</t>
  </si>
  <si>
    <t>&lt;a href="http://a836-acris.nyc.gov/DS/DocumentSearch/DocumentDetail?doc_id=2020040900418001" target="_blank"&gt;Verified by Public Record&lt;/a&gt;</t>
  </si>
  <si>
    <t>&lt;a href="http://a836-acris.nyc.gov/DS/DocumentSearch/DocumentDetail?doc_id=2021071201373001" target="_blank"&gt;Verified by Public Record&lt;/a&gt;</t>
  </si>
  <si>
    <t>&lt;a href="http://a836-acris.nyc.gov/DS/DocumentSearch/DocumentDetail?doc_id=2021070100966001" target="_blank"&gt;Verified by Public Record&lt;/a&gt;</t>
  </si>
  <si>
    <t>Balcony
Private Roof Deck
Roof Deck
Common Roof Deck
Private Outdoor Space</t>
  </si>
  <si>
    <t>&lt;a href="http://a836-acris.nyc.gov/DS/DocumentSearch/DocumentDetail?doc_id=2016011300816004" target="_blank"&gt;Public Record Only&lt;/a&gt;</t>
  </si>
  <si>
    <t>&lt;a href="http://a836-acris.nyc.gov/DS/DocumentSearch/DocumentDetail?doc_id=2016102801326003" target="_blank"&gt;Public Record Only&lt;/a&gt;</t>
  </si>
  <si>
    <t>&lt;a href="http://a836-acris.nyc.gov/DS/DocumentSearch/DocumentDetail?doc_id=2020021200190001" target="_blank"&gt;Public Record Only&lt;/a&gt;</t>
  </si>
  <si>
    <t>&lt;a href="http://a836-acris.nyc.gov/DS/DocumentSearch/DocumentDetail?doc_id=2016061402323001" target="_blank"&gt;Verified by Public Record&lt;/a&gt;</t>
  </si>
  <si>
    <t>&lt;a href="http://a836-acris.nyc.gov/DS/DocumentSearch/DocumentDetail?doc_id=2017121100944001" target="_blank"&gt;Verified by Public Record&lt;/a&gt;</t>
  </si>
  <si>
    <t>&lt;a href="http://a836-acris.nyc.gov/DS/DocumentSearch/DocumentDetail?doc_id=2020012701059001" target="_blank"&gt;Verified by Public Record&lt;/a&gt;</t>
  </si>
  <si>
    <t>&lt;a href="http://a836-acris.nyc.gov/DS/DocumentSearch/DocumentDetail?doc_id=2020022401067001" target="_blank"&gt;Verified by Public Record&lt;/a&gt;</t>
  </si>
  <si>
    <t>Balcony
Roof Deck
Common Roof Deck
Common Outdoor Space
Private Outdoor Space</t>
  </si>
  <si>
    <t>&lt;a href="http://a836-acris.nyc.gov/DS/DocumentSearch/DocumentDetail?doc_id=2020012200874002" target="_blank"&gt;Verified by Public Record&lt;/a&gt;</t>
  </si>
  <si>
    <t>&lt;a href="http://a836-acris.nyc.gov/DS/DocumentSearch/DocumentDetail?doc_id=2020012400597001" target="_blank"&gt;Verified by Public Record&lt;/a&gt;</t>
  </si>
  <si>
    <t>&lt;a href="http://a836-acris.nyc.gov/DS/DocumentSearch/DocumentDetail?doc_id=2020011400348005" target="_blank"&gt;Verified by Public Record&lt;/a&gt;</t>
  </si>
  <si>
    <t>&lt;a href="http://a836-acris.nyc.gov/DS/DocumentSearch/DocumentDetail?doc_id=2021070600834003" target="_blank"&gt;Verified by Public Record&lt;/a&gt;</t>
  </si>
  <si>
    <t>&lt;a href="http://a836-acris.nyc.gov/DS/DocumentSearch/DocumentDetail?doc_id=2020010700331001" target="_blank"&gt;Verified by Public Record&lt;/a&gt;</t>
  </si>
  <si>
    <t>Private Roof Deck
Common Roof Deck
Barbecue Area</t>
  </si>
  <si>
    <t>&lt;a href="http://a836-acris.nyc.gov/DS/DocumentSearch/DocumentDetail?doc_id=2019111900461002" target="_blank"&gt;Verified by Public Record&lt;/a&gt;</t>
  </si>
  <si>
    <t>&lt;a href="http://a836-acris.nyc.gov/DS/DocumentSearch/DocumentDetail?doc_id=2020012800759001" target="_blank"&gt;Verified by Public Record&lt;/a&gt;</t>
  </si>
  <si>
    <t>&lt;a href="http://a836-acris.nyc.gov/DS/DocumentSearch/DocumentDetail?doc_id=2016062201208003" target="_blank"&gt;Public Record Only&lt;/a&gt;</t>
  </si>
  <si>
    <t>&lt;a href="http://a836-acris.nyc.gov/DS/DocumentSearch/DocumentDetail?doc_id=2020012301075001" target="_blank"&gt;Verified by Public Record&lt;/a&gt;</t>
  </si>
  <si>
    <t>&lt;a href="http://a836-acris.nyc.gov/DS/DocumentSearch/DocumentDetail?doc_id=2020031200942001" target="_blank"&gt;Verified by Public Record&lt;/a&gt;</t>
  </si>
  <si>
    <t>&lt;a href="http://a836-acris.nyc.gov/DS/DocumentSearch/DocumentDetail?doc_id=2020010300486001" target="_blank"&gt;Verified by Public Record&lt;/a&gt;</t>
  </si>
  <si>
    <t>Common Roof Deck
Barbecue Area</t>
  </si>
  <si>
    <t>&lt;a href="http://a836-acris.nyc.gov/DS/DocumentSearch/DocumentDetail?doc_id=2020012800356001" target="_blank"&gt;Verified by Public Record&lt;/a&gt;</t>
  </si>
  <si>
    <t>&lt;a href="http://a836-acris.nyc.gov/DS/DocumentSearch/DocumentDetail?doc_id=2020020601317004" target="_blank"&gt;Verified by Public Record&lt;/a&gt;</t>
  </si>
  <si>
    <t>&lt;a href="http://a836-acris.nyc.gov/DS/DocumentSearch/DocumentDetail?doc_id=2015110901280001" target="_blank"&gt;Verified by Public Record&lt;/a&gt;</t>
  </si>
  <si>
    <t>&lt;a href="http://a836-acris.nyc.gov/DS/DocumentSearch/DocumentDetail?doc_id=2020021200675001" target="_blank"&gt;Verified by Public Record&lt;/a&gt;</t>
  </si>
  <si>
    <t>&lt;a href="http://a836-acris.nyc.gov/DS/DocumentSearch/DocumentDetail?doc_id=2019110601083002" target="_blank"&gt;Verified by Public Record&lt;/a&gt;</t>
  </si>
  <si>
    <t>&lt;a href="http://a836-acris.nyc.gov/DS/DocumentSearch/DocumentDetail?doc_id=2021070800355002" target="_blank"&gt;Public Record Only&lt;/a&gt;</t>
  </si>
  <si>
    <t>Roof Deck</t>
  </si>
  <si>
    <t>&lt;a href="http://a836-acris.nyc.gov/DS/DocumentSearch/DocumentDetail?doc_id=2018121800225001" target="_blank"&gt;Public Record Only&lt;/a&gt;</t>
  </si>
  <si>
    <t>&lt;a href="http://a836-acris.nyc.gov/DS/DocumentSearch/DocumentDetail?doc_id=2020063000768001" target="_blank"&gt;Verified by Public Record&lt;/a&gt;</t>
  </si>
  <si>
    <t>&lt;a href="http://a836-acris.nyc.gov/DS/DocumentSearch/DocumentDetail?doc_id=2020081800156001" target="_blank"&gt;Verified by Public Record&lt;/a&gt;</t>
  </si>
  <si>
    <t>&lt;a href="http://a836-acris.nyc.gov/DS/DocumentSearch/DocumentDetail?doc_id=2020012101335004" target="_blank"&gt;Verified by Public Record&lt;/a&gt;</t>
  </si>
  <si>
    <t>&lt;a href="http://a836-acris.nyc.gov/DS/DocumentSearch/DocumentDetail?doc_id=2021012201482001" target="_blank"&gt;Verified by Public Record&lt;/a&gt;</t>
  </si>
  <si>
    <t>&lt;a href="http://a836-acris.nyc.gov/DS/DocumentSearch/DocumentDetail?doc_id=2021010601542001" target="_blank"&gt;Verified by Public Record&lt;/a&gt;</t>
  </si>
  <si>
    <t>&lt;a href="http://a836-acris.nyc.gov/DS/DocumentSearch/DocumentDetail?doc_id=2021031100680004" target="_blank"&gt;Verified by Public Record&lt;/a&gt;</t>
  </si>
  <si>
    <t>&lt;a href="http://a836-acris.nyc.gov/DS/DocumentSearch/DocumentDetail?doc_id=2017120700713001" target="_blank"&gt;Verified by Public Record&lt;/a&gt;</t>
  </si>
  <si>
    <t>&lt;a href="http://a836-acris.nyc.gov/DS/DocumentSearch/DocumentDetail?doc_id=2017121901000001" target="_blank"&gt;Verified by Public Record&lt;/a&gt;</t>
  </si>
  <si>
    <t>House/Building/Condo</t>
  </si>
  <si>
    <t>Townhouse/Condo</t>
  </si>
  <si>
    <t>&lt;a href="http://a836-acris.nyc.gov/DS/DocumentSearch/DocumentDetail?doc_id=2019041601048002" target="_blank"&gt;Verified by Public Record&lt;/a&gt;</t>
  </si>
  <si>
    <t>Private Terrace
Common Roof Deck
Common Outdoor Space
Private Outdoor Space</t>
  </si>
  <si>
    <t>&lt;a href="http://a836-acris.nyc.gov/DS/DocumentSearch/DocumentDetail?doc_id=2019052300049001" target="_blank"&gt;Verified by Public Record&lt;/a&gt;</t>
  </si>
  <si>
    <t>Private Terrace
Private Roof Deck
Common Roof Deck
Playground
Common Outdoor Space</t>
  </si>
  <si>
    <t>/All Multi Family/Undefined Multi Family</t>
  </si>
  <si>
    <t>Condo/Multi Family</t>
  </si>
  <si>
    <t>&lt;a href="http://a836-acris.nyc.gov/DS/DocumentSearch/DocumentDetail?doc_id=2019050800912002" target="_blank"&gt;Verified by Public Record&lt;/a&gt;</t>
  </si>
  <si>
    <t>19.5' x 52'</t>
  </si>
  <si>
    <t>&lt;a href="http://a836-acris.nyc.gov/DS/DocumentSearch/DocumentDetail?doc_id=2021070600665003" target="_blank"&gt;Verified by Public Record&lt;/a&gt;</t>
  </si>
  <si>
    <t>&lt;a href="http://a836-acris.nyc.gov/DS/DocumentSearch/DocumentDetail?doc_id=2020102600803004" target="_blank"&gt;Verified by Public Record&lt;/a&gt;</t>
  </si>
  <si>
    <t>Balcony
Deck
Common Roof Deck
Private Outdoor Space</t>
  </si>
  <si>
    <t>505 W 173rd St</t>
  </si>
  <si>
    <t>&lt;a href="http://a836-acris.nyc.gov/DS/DocumentSearch/DocumentDetail?doc_id=2015011500631001" target="_blank"&gt;Verified by Public Record&lt;/a&gt;</t>
  </si>
  <si>
    <t>&lt;a href="http://a836-acris.nyc.gov/DS/DocumentSearch/DocumentDetail?doc_id=2018020901073001" target="_blank"&gt;Public Record Only&lt;/a&gt;</t>
  </si>
  <si>
    <t>Deck
Common Roof Deck
Private Outdoor Space</t>
  </si>
  <si>
    <t>&lt;a href="http://a836-acris.nyc.gov/DS/DocumentSearch/DocumentDetail?doc_id=2015051501221001" target="_blank"&gt;Public Record Only&lt;/a&gt;</t>
  </si>
  <si>
    <t>&lt;a href="http://a836-acris.nyc.gov/DS/DocumentSearch/DocumentDetail?doc_id=2015062601063002" target="_blank"&gt;Public Record Only&lt;/a&gt;</t>
  </si>
  <si>
    <t>&lt;a href="http://a836-acris.nyc.gov/DS/DocumentSearch/DocumentDetail?doc_id=2018020901039001" target="_blank"&gt;Public Record Only&lt;/a&gt;</t>
  </si>
  <si>
    <t>&lt;a href="http://a836-acris.nyc.gov/DS/DocumentSearch/DocumentDetail?doc_id=2020111200877001" target="_blank"&gt;Verified by Public Record&lt;/a&gt;</t>
  </si>
  <si>
    <t>Deck
Roof Deck
Common Roof Deck
Private Outdoor Space</t>
  </si>
  <si>
    <t>&lt;a href="http://a836-acris.nyc.gov/DS/DocumentSearch/DocumentDetail?doc_id=2019060400068001" target="_blank"&gt;Verified by Public Record&lt;/a&gt;</t>
  </si>
  <si>
    <t>Private Terrace
Playground
Common Outdoor Space
Private Outdoor Space</t>
  </si>
  <si>
    <t>&lt;a href="http://a836-acris.nyc.gov/DS/DocumentSearch/DocumentDetail?doc_id=2019030600512002" target="_blank"&gt;Verified by Public Record&lt;/a&gt;</t>
  </si>
  <si>
    <t>&lt;a href="http://a836-acris.nyc.gov/DS/DocumentSearch/DocumentDetail?doc_id=2018121701168001" target="_blank"&gt;Verified by Public Record&lt;/a&gt;</t>
  </si>
  <si>
    <t>&lt;a href="http://a836-acris.nyc.gov/DS/DocumentSearch/DocumentDetail?doc_id=2016012900645001" target="_blank"&gt;Public Record Only&lt;/a&gt;</t>
  </si>
  <si>
    <t>&lt;a href="http://a836-acris.nyc.gov/DS/DocumentSearch/DocumentDetail?doc_id=2017011701563001" target="_blank"&gt;Verified by Public Record&lt;/a&gt;</t>
  </si>
  <si>
    <t>&lt;a href="http://a836-acris.nyc.gov/DS/DocumentSearch/DocumentDetail?doc_id=2021061501071001" target="_blank"&gt;Verified by Public Record&lt;/a&gt;</t>
  </si>
  <si>
    <t>&lt;a href="http://a836-acris.nyc.gov/DS/DocumentSearch/DocumentDetail?doc_id=2017061900845001" target="_blank"&gt;Verified by Public Record&lt;/a&gt;</t>
  </si>
  <si>
    <t>&lt;a href="http://a836-acris.nyc.gov/DS/DocumentSearch/DocumentDetail?doc_id=2017032000647001" target="_blank"&gt;Verified by Public Record&lt;/a&gt;</t>
  </si>
  <si>
    <t>&lt;a href="http://a836-acris.nyc.gov/DS/DocumentSearch/DocumentDetail?doc_id=2015120801294001" target="_blank"&gt;Public Record Only&lt;/a&gt;</t>
  </si>
  <si>
    <t>&lt;a href="http://a836-acris.nyc.gov/DS/DocumentSearch/DocumentDetail?doc_id=2016020201270001" target="_blank"&gt;Public Record Only&lt;/a&gt;</t>
  </si>
  <si>
    <t>&lt;a href="http://a836-acris.nyc.gov/DS/DocumentSearch/DocumentDetail?doc_id=2016020702112001" target="_blank"&gt;Public Record Only&lt;/a&gt;</t>
  </si>
  <si>
    <t>&lt;a href="http://a836-acris.nyc.gov/DS/DocumentSearch/DocumentDetail?doc_id=2017040600269001" target="_blank"&gt;Verified by Public Record&lt;/a&gt;</t>
  </si>
  <si>
    <t>&lt;a href="http://a836-acris.nyc.gov/DS/DocumentSearch/DocumentDetail?doc_id=2017052200322001" target="_blank"&gt;Verified by Public Record&lt;/a&gt;</t>
  </si>
  <si>
    <t>&lt;a href="http://a836-acris.nyc.gov/DS/DocumentSearch/DocumentDetail?doc_id=2017012701121002" target="_blank"&gt;Verified by Public Record&lt;/a&gt;</t>
  </si>
  <si>
    <t>&lt;a href="http://a836-acris.nyc.gov/DS/DocumentSearch/DocumentDetail?doc_id=2016021201539001" target="_blank"&gt;Public Record Only&lt;/a&gt;</t>
  </si>
  <si>
    <t>&lt;a href="http://a836-acris.nyc.gov/DS/DocumentSearch/DocumentDetail?doc_id=2016082600799003" target="_blank"&gt;Public Record Only&lt;/a&gt;</t>
  </si>
  <si>
    <t>&lt;a href="http://a836-acris.nyc.gov/DS/DocumentSearch/DocumentDetail?doc_id=2017012000282001" target="_blank"&gt;Verified by Public Record&lt;/a&gt;</t>
  </si>
  <si>
    <t>&lt;a href="http://a836-acris.nyc.gov/DS/DocumentSearch/DocumentDetail?doc_id=2021081100216007" target="_blank"&gt;Verified by Public Record&lt;/a&gt;</t>
  </si>
  <si>
    <t>&lt;a href="http://a836-acris.nyc.gov/DS/DocumentSearch/DocumentDetail?doc_id=2017013101626001" target="_blank"&gt;Verified by Public Record&lt;/a&gt;</t>
  </si>
  <si>
    <t>&lt;a href="http://a836-acris.nyc.gov/DS/DocumentSearch/DocumentDetail?doc_id=2017022701819002" target="_blank"&gt;Verified by Public Record&lt;/a&gt;</t>
  </si>
  <si>
    <t>&lt;a href="http://a836-acris.nyc.gov/DS/DocumentSearch/DocumentDetail?doc_id=2017011101246001" target="_blank"&gt;Verified by Public Record&lt;/a&gt;</t>
  </si>
  <si>
    <t>&lt;a href="http://a836-acris.nyc.gov/DS/DocumentSearch/DocumentDetail?doc_id=2018072600552001" target="_blank"&gt;Verified by Public Record&lt;/a&gt;</t>
  </si>
  <si>
    <t>&lt;a href="http://a836-acris.nyc.gov/DS/DocumentSearch/DocumentDetail?doc_id=2021072001054004" target="_blank"&gt;Verified by Public Record&lt;/a&gt;</t>
  </si>
  <si>
    <t>&lt;a href="http://a836-acris.nyc.gov/DS/DocumentSearch/DocumentDetail?doc_id=2016072801128002" target="_blank"&gt;Verified by Public Record&lt;/a&gt;</t>
  </si>
  <si>
    <t>&lt;a href="http://a836-acris.nyc.gov/DS/DocumentSearch/DocumentDetail?doc_id=2017122800288001" target="_blank"&gt;Verified by Public Record&lt;/a&gt;</t>
  </si>
  <si>
    <t>&lt;a href="http://a836-acris.nyc.gov/DS/DocumentSearch/DocumentDetail?doc_id=2018053000404001" target="_blank"&gt;Verified by Public Record&lt;/a&gt;</t>
  </si>
  <si>
    <t>&lt;a href="http://a836-acris.nyc.gov/DS/DocumentSearch/DocumentDetail?doc_id=2021031700192001" target="_blank"&gt;Verified by Public Record&lt;/a&gt;</t>
  </si>
  <si>
    <t>&lt;a href="http://a836-acris.nyc.gov/DS/DocumentSearch/DocumentDetail?doc_id=2016061500418001" target="_blank"&gt;Verified by Public Record&lt;/a&gt;</t>
  </si>
  <si>
    <t>&lt;a href="http://a836-acris.nyc.gov/DS/DocumentSearch/DocumentDetail?doc_id=2017010800034001" target="_blank"&gt;Verified by Public Record&lt;/a&gt;</t>
  </si>
  <si>
    <t>&lt;a href="http://a836-acris.nyc.gov/DS/DocumentSearch/DocumentDetail?doc_id=2016071900941001" target="_blank"&gt;Verified by Public Record&lt;/a&gt;</t>
  </si>
  <si>
    <t>&lt;a href="http://a836-acris.nyc.gov/DS/DocumentSearch/DocumentDetail?doc_id=2016061301672001" target="_blank"&gt;Verified by Public Record&lt;/a&gt;</t>
  </si>
  <si>
    <t>&lt;a href="http://a836-acris.nyc.gov/DS/DocumentSearch/DocumentDetail?doc_id=2020122801034001" target="_blank"&gt;Verified by Public Record&lt;/a&gt;</t>
  </si>
  <si>
    <t>&lt;a href="http://a836-acris.nyc.gov/DS/DocumentSearch/DocumentDetail?doc_id=2021061600612001" target="_blank"&gt;Verified by Public Record&lt;/a&gt;</t>
  </si>
  <si>
    <t>&lt;a href="http://a836-acris.nyc.gov/DS/DocumentSearch/DocumentDetail?doc_id=2016061302966001" target="_blank"&gt;Verified by Public Record&lt;/a&gt;</t>
  </si>
  <si>
    <t>&lt;a href="http://a836-acris.nyc.gov/DS/DocumentSearch/DocumentDetail?doc_id=2016082401536003" target="_blank"&gt;Verified by Public Record&lt;/a&gt;</t>
  </si>
  <si>
    <t>&lt;a href="http://a836-acris.nyc.gov/DS/DocumentSearch/DocumentDetail?doc_id=2016091401499002" target="_blank"&gt;Verified by Public Record&lt;/a&gt;</t>
  </si>
  <si>
    <t>&lt;a href="http://a836-acris.nyc.gov/DS/DocumentSearch/DocumentDetail?doc_id=2019010100031001" target="_blank"&gt;Verified by Public Record&lt;/a&gt;</t>
  </si>
  <si>
    <t>&lt;a href="http://a836-acris.nyc.gov/DS/DocumentSearch/DocumentDetail?doc_id=2021050200079002" target="_blank"&gt;Verified by Public Record&lt;/a&gt;</t>
  </si>
  <si>
    <t>&lt;a href="http://a836-acris.nyc.gov/DS/DocumentSearch/DocumentDetail?doc_id=2017013001073001" target="_blank"&gt;Verified by Public Record&lt;/a&gt;</t>
  </si>
  <si>
    <t>&lt;a href="http://a836-acris.nyc.gov/DS/DocumentSearch/DocumentDetail?doc_id=2016060900976002" target="_blank"&gt;Verified by Public Record&lt;/a&gt;</t>
  </si>
  <si>
    <t>&lt;a href="http://a836-acris.nyc.gov/DS/DocumentSearch/DocumentDetail?doc_id=2016083100470001" target="_blank"&gt;Verified by Public Record&lt;/a&gt;</t>
  </si>
  <si>
    <t>&lt;a href="http://a836-acris.nyc.gov/DS/DocumentSearch/DocumentDetail?doc_id=2017020600539001" target="_blank"&gt;Verified by Public Record&lt;/a&gt;</t>
  </si>
  <si>
    <t>Midtown East</t>
  </si>
  <si>
    <t>&lt;a href="http://a836-acris.nyc.gov/DS/DocumentSearch/DocumentDetail?doc_id=2020092201169001" target="_blank"&gt;Verified by Public Record&lt;/a&gt;</t>
  </si>
  <si>
    <t>&lt;a href="http://a836-acris.nyc.gov/DS/DocumentSearch/DocumentDetail?doc_id=2016060800916001" target="_blank"&gt;Verified by Public Record&lt;/a&gt;</t>
  </si>
  <si>
    <t>&lt;a href="http://a836-acris.nyc.gov/DS/DocumentSearch/DocumentDetail?doc_id=2021070200722001" target="_blank"&gt;Verified by Public Record&lt;/a&gt;</t>
  </si>
  <si>
    <t>&lt;a href="http://a836-acris.nyc.gov/DS/DocumentSearch/DocumentDetail?doc_id=2017030800536001" target="_blank"&gt;Verified by Public Record&lt;/a&gt;</t>
  </si>
  <si>
    <t>&lt;a href="http://a836-acris.nyc.gov/DS/DocumentSearch/DocumentDetail?doc_id=2020061900670001" target="_blank"&gt;Verified by Public Record&lt;/a&gt;</t>
  </si>
  <si>
    <t>&lt;a href="http://a836-acris.nyc.gov/DS/DocumentSearch/DocumentDetail?doc_id=2020033100374001" target="_blank"&gt;Verified by Public Record&lt;/a&gt;</t>
  </si>
  <si>
    <t>&lt;a href="http://a836-acris.nyc.gov/DS/DocumentSearch/DocumentDetail?doc_id=2020052200310002" target="_blank"&gt;Verified by Public Record&lt;/a&gt;</t>
  </si>
  <si>
    <t>&lt;a href="http://a836-acris.nyc.gov/DS/DocumentSearch/DocumentDetail?doc_id=2021032300459001" target="_blank"&gt;Verified by Public Record&lt;/a&gt;</t>
  </si>
  <si>
    <t>&lt;a href="http://a836-acris.nyc.gov/DS/DocumentSearch/DocumentDetail?doc_id=2020013001365001" target="_blank"&gt;Verified by Public Record&lt;/a&gt;</t>
  </si>
  <si>
    <t>&lt;a href="http://a836-acris.nyc.gov/DS/DocumentSearch/DocumentDetail?doc_id=2020093000495001" target="_blank"&gt;Verified by Public Record&lt;/a&gt;</t>
  </si>
  <si>
    <t>&lt;a href="http://a836-acris.nyc.gov/DS/DocumentSearch/DocumentDetail?doc_id=2016061500593001" target="_blank"&gt;Verified by Public Record&lt;/a&gt;</t>
  </si>
  <si>
    <t>&lt;a href="http://a836-acris.nyc.gov/DS/DocumentSearch/DocumentDetail?doc_id=2016083100179001" target="_blank"&gt;Verified by Public Record&lt;/a&gt;</t>
  </si>
  <si>
    <t>&lt;a href="http://a836-acris.nyc.gov/DS/DocumentSearch/DocumentDetail?doc_id=2017122100614002" target="_blank"&gt;Verified by Public Record&lt;/a&gt;</t>
  </si>
  <si>
    <t>&lt;a href="http://a836-acris.nyc.gov/DS/DocumentSearch/DocumentDetail?doc_id=2020120700965001" target="_blank"&gt;Verified by Public Record&lt;/a&gt;</t>
  </si>
  <si>
    <t>&lt;a href="http://a836-acris.nyc.gov/DS/DocumentSearch/DocumentDetail?doc_id=2019110500940001" target="_blank"&gt;Verified by Public Record&lt;/a&gt;</t>
  </si>
  <si>
    <t>&lt;a href="http://a836-acris.nyc.gov/DS/DocumentSearch/DocumentDetail?doc_id=2019120401046001" target="_blank"&gt;Verified by Public Record&lt;/a&gt;</t>
  </si>
  <si>
    <t>Balcony
Common Roof Deck
Common Garden
Common Outdoor Space
Private Outdoor Space</t>
  </si>
  <si>
    <t>&lt;a href="http://a836-acris.nyc.gov/DS/DocumentSearch/DocumentDetail?doc_id=2019121601067005" target="_blank"&gt;Verified by Public Record&lt;/a&gt;</t>
  </si>
  <si>
    <t>&lt;a href="http://a836-acris.nyc.gov/DS/DocumentSearch/DocumentDetail?doc_id=2021071200398001" target="_blank"&gt;Verified by Public Record&lt;/a&gt;</t>
  </si>
  <si>
    <t>&lt;a href="http://a836-acris.nyc.gov/DS/DocumentSearch/DocumentDetail?doc_id=2021072801088002" target="_blank"&gt;Public Record Only&lt;/a&gt;</t>
  </si>
  <si>
    <t>&lt;a href="http://a836-acris.nyc.gov/DS/DocumentSearch/DocumentDetail?doc_id=2021020200468001" target="_blank"&gt;Verified by Public Record&lt;/a&gt;</t>
  </si>
  <si>
    <t>&lt;a href="http://a836-acris.nyc.gov/DS/DocumentSearch/DocumentDetail?doc_id=2019122000113001" target="_blank"&gt;Verified by Public Record&lt;/a&gt;</t>
  </si>
  <si>
    <t>&lt;a href="http://a836-acris.nyc.gov/DS/DocumentSearch/DocumentDetail?doc_id=2020012000378002" target="_blank"&gt;Verified by Public Record&lt;/a&gt;</t>
  </si>
  <si>
    <t>&lt;a href="http://a836-acris.nyc.gov/DS/DocumentSearch/DocumentDetail?doc_id=2019112600360006" target="_blank"&gt;Verified by Public Record&lt;/a&gt;</t>
  </si>
  <si>
    <t>&lt;a href="http://a836-acris.nyc.gov/DS/DocumentSearch/DocumentDetail?doc_id=2019120501041002" target="_blank"&gt;Verified by Public Record&lt;/a&gt;</t>
  </si>
  <si>
    <t>&lt;a href="http://a836-acris.nyc.gov/DS/DocumentSearch/DocumentDetail?doc_id=2021010500065003" target="_blank"&gt;Verified by Public Record&lt;/a&gt;</t>
  </si>
  <si>
    <t>&lt;a href="http://a836-acris.nyc.gov/DS/DocumentSearch/DocumentDetail?doc_id=2021031000820001" target="_blank"&gt;Verified by Public Record&lt;/a&gt;</t>
  </si>
  <si>
    <t>&lt;a href="http://a836-acris.nyc.gov/DS/DocumentSearch/DocumentDetail?doc_id=2021032300254001" target="_blank"&gt;Verified by Public Record&lt;/a&gt;</t>
  </si>
  <si>
    <t>&lt;a href="http://a836-acris.nyc.gov/DS/DocumentSearch/DocumentDetail?doc_id=2021063000298001" target="_blank"&gt;Verified by Public Record&lt;/a&gt;</t>
  </si>
  <si>
    <t>&lt;a href="http://a836-acris.nyc.gov/DS/DocumentSearch/DocumentDetail?doc_id=2021051301177001" target="_blank"&gt;Verified by Public Record&lt;/a&gt;</t>
  </si>
  <si>
    <t>&lt;a href="http://a836-acris.nyc.gov/DS/DocumentSearch/DocumentDetail?doc_id=2021062900550001" target="_blank"&gt;Verified by Public Record&lt;/a&gt;</t>
  </si>
  <si>
    <t>&lt;a href="http://a836-acris.nyc.gov/DS/DocumentSearch/DocumentDetail?doc_id=2021062100871006" target="_blank"&gt;Verified by Public Record&lt;/a&gt;</t>
  </si>
  <si>
    <t>&lt;a href="http://a836-acris.nyc.gov/DS/DocumentSearch/DocumentDetail?doc_id=2020102800572001" target="_blank"&gt;Verified by Public Record&lt;/a&gt;</t>
  </si>
  <si>
    <t>&lt;a href="http://a836-acris.nyc.gov/DS/DocumentSearch/DocumentDetail?doc_id=2021070800018001" target="_blank"&gt;Verified by Public Record&lt;/a&gt;</t>
  </si>
  <si>
    <t>&lt;a href="http://a836-acris.nyc.gov/DS/DocumentSearch/DocumentDetail?doc_id=2021060500114001" target="_blank"&gt;Verified by Public Record&lt;/a&gt;</t>
  </si>
  <si>
    <t>&lt;a href="http://a836-acris.nyc.gov/DS/DocumentSearch/DocumentDetail?doc_id=2021050401532001" target="_blank"&gt;Verified by Public Record&lt;/a&gt;</t>
  </si>
  <si>
    <t>&lt;a href="http://a836-acris.nyc.gov/DS/DocumentSearch/DocumentDetail?doc_id=2021021500549001" target="_blank"&gt;Verified by Public Record&lt;/a&gt;</t>
  </si>
  <si>
    <t>&lt;a href="http://a836-acris.nyc.gov/DS/DocumentSearch/DocumentDetail?doc_id=2021073000822001" target="_blank"&gt;Verified by Public Record&lt;/a&gt;</t>
  </si>
  <si>
    <t>&lt;a href="http://a836-acris.nyc.gov/DS/DocumentSearch/DocumentDetail?doc_id=2021070201135002" target="_blank"&gt;Public Record Only&lt;/a&gt;</t>
  </si>
  <si>
    <t>&lt;a href="http://a836-acris.nyc.gov/DS/DocumentSearch/DocumentDetail?doc_id=2020013100411001" target="_blank"&gt;Verified by Public Record&lt;/a&gt;</t>
  </si>
  <si>
    <t>Balcony
Private Terrace
Common Roof Deck
Common Garden
Common Outdoor Space
Private Outdoor Space</t>
  </si>
  <si>
    <t>&lt;a href="http://a836-acris.nyc.gov/DS/DocumentSearch/DocumentDetail?doc_id=2020092900917002" target="_blank"&gt;Verified by Public Record&lt;/a&gt;</t>
  </si>
  <si>
    <t>&lt;a href="http://a836-acris.nyc.gov/DS/DocumentSearch/DocumentDetail?doc_id=2021072200699001" target="_blank"&gt;Verified by Public Record&lt;/a&gt;</t>
  </si>
  <si>
    <t>&lt;a href="http://a836-acris.nyc.gov/DS/DocumentSearch/DocumentDetail?doc_id=2018051800784001" target="_blank"&gt;Public Record Only&lt;/a&gt;</t>
  </si>
  <si>
    <t>&lt;a href="http://a836-acris.nyc.gov/DS/DocumentSearch/DocumentDetail?doc_id=2021062400536003" target="_blank"&gt;Public Record Only&lt;/a&gt;</t>
  </si>
  <si>
    <t>&lt;a href="http://a836-acris.nyc.gov/DS/DocumentSearch/DocumentDetail?doc_id=2021030100367001" target="_blank"&gt;Verified by Public Record&lt;/a&gt;</t>
  </si>
  <si>
    <t>&lt;a href="http://a836-acris.nyc.gov/DS/DocumentSearch/DocumentDetail?doc_id=2021042300236006" target="_blank"&gt;Verified by Public Record&lt;/a&gt;</t>
  </si>
  <si>
    <t>&lt;a href="http://a836-acris.nyc.gov/DS/DocumentSearch/DocumentDetail?doc_id=2021033101037006" target="_blank"&gt;Verified by Public Record&lt;/a&gt;</t>
  </si>
  <si>
    <t>&lt;a href="http://a836-acris.nyc.gov/DS/DocumentSearch/DocumentDetail?doc_id=2021052801067001" target="_blank"&gt;Verified by Public Record&lt;/a&gt;</t>
  </si>
  <si>
    <t>&lt;a href="http://a836-acris.nyc.gov/DS/DocumentSearch/DocumentDetail?doc_id=2021060900819006" target="_blank"&gt;Verified by Public Record&lt;/a&gt;</t>
  </si>
  <si>
    <t>&lt;a href="http://a836-acris.nyc.gov/DS/DocumentSearch/DocumentDetail?doc_id=2021020500355001" target="_blank"&gt;Verified by Public Record&lt;/a&gt;</t>
  </si>
  <si>
    <t>&lt;a href="http://a836-acris.nyc.gov/DS/DocumentSearch/DocumentDetail?doc_id=2021042700718010" target="_blank"&gt;Verified by Public Record&lt;/a&gt;</t>
  </si>
  <si>
    <t>&lt;a href="http://a836-acris.nyc.gov/DS/DocumentSearch/DocumentDetail?doc_id=2021012101302001" target="_blank"&gt;Verified by Public Record&lt;/a&gt;</t>
  </si>
  <si>
    <t>&lt;a href="http://a836-acris.nyc.gov/DS/DocumentSearch/DocumentDetail?doc_id=2021051700929001" target="_blank"&gt;Verified by Public Record&lt;/a&gt;</t>
  </si>
  <si>
    <t>&lt;a href="http://a836-acris.nyc.gov/DS/DocumentSearch/DocumentDetail?doc_id=2021062100955001" target="_blank"&gt;Verified by Public Record&lt;/a&gt;</t>
  </si>
  <si>
    <t>&lt;a href="http://a836-acris.nyc.gov/DS/DocumentSearch/DocumentDetail?doc_id=2021012600335002" target="_blank"&gt;Verified by Public Record&lt;/a&gt;</t>
  </si>
  <si>
    <t>&lt;a href="http://a836-acris.nyc.gov/DS/DocumentSearch/DocumentDetail?doc_id=2021051100127003" target="_blank"&gt;Verified by Public Record&lt;/a&gt;</t>
  </si>
  <si>
    <t>&lt;a href="http://a836-acris.nyc.gov/DS/DocumentSearch/DocumentDetail?doc_id=2021062401122001" target="_blank"&gt;Verified by Public Record&lt;/a&gt;</t>
  </si>
  <si>
    <t>&lt;a href="http://a836-acris.nyc.gov/DS/DocumentSearch/DocumentDetail?doc_id=2021071300311001" target="_blank"&gt;Verified by Public Record&lt;/a&gt;</t>
  </si>
  <si>
    <t>&lt;a href="http://a836-acris.nyc.gov/DS/DocumentSearch/DocumentDetail?doc_id=2021032501250001" target="_blank"&gt;Verified by Public Record&lt;/a&gt;</t>
  </si>
  <si>
    <t>&lt;a href="http://a836-acris.nyc.gov/DS/DocumentSearch/DocumentDetail?doc_id=2021041400266001" target="_blank"&gt;Verified by Public Record&lt;/a&gt;</t>
  </si>
  <si>
    <t>&lt;a href="http://a836-acris.nyc.gov/DS/DocumentSearch/DocumentDetail?doc_id=2021062100966006" target="_blank"&gt;Verified by Public Record&lt;/a&gt;</t>
  </si>
  <si>
    <t>&lt;a href="http://a836-acris.nyc.gov/DS/DocumentSearch/DocumentDetail?doc_id=2021022601123001" target="_blank"&gt;Verified by Public Record&lt;/a&gt;</t>
  </si>
  <si>
    <t>&lt;a href="http://a836-acris.nyc.gov/DS/DocumentSearch/DocumentDetail?doc_id=2021041501113001" target="_blank"&gt;Verified by Public Record&lt;/a&gt;</t>
  </si>
  <si>
    <t>&lt;a href="http://a836-acris.nyc.gov/DS/DocumentSearch/DocumentDetail?doc_id=2021041500315002" target="_blank"&gt;Verified by Public Record&lt;/a&gt;</t>
  </si>
  <si>
    <t>&lt;a href="http://a836-acris.nyc.gov/DS/DocumentSearch/DocumentDetail?doc_id=2021013100036002" target="_blank"&gt;Verified by Public Record&lt;/a&gt;</t>
  </si>
  <si>
    <t>&lt;a href="http://a836-acris.nyc.gov/DS/DocumentSearch/DocumentDetail?doc_id=2021032900750002" target="_blank"&gt;Verified by Public Record&lt;/a&gt;</t>
  </si>
  <si>
    <t>&lt;a href="http://a836-acris.nyc.gov/DS/DocumentSearch/DocumentDetail?doc_id=2021031800489002" target="_blank"&gt;Verified by Public Record&lt;/a&gt;</t>
  </si>
  <si>
    <t>&lt;a href="http://a836-acris.nyc.gov/DS/DocumentSearch/DocumentDetail?doc_id=2019120500918001" target="_blank"&gt;Verified by Public Record&lt;/a&gt;</t>
  </si>
  <si>
    <t>&lt;a href="http://a836-acris.nyc.gov/DS/DocumentSearch/DocumentDetail?doc_id=2021073000560001" target="_blank"&gt;Verified by Public Record&lt;/a&gt;</t>
  </si>
  <si>
    <t>&lt;a href="http://a836-acris.nyc.gov/DS/DocumentSearch/DocumentDetail?doc_id=2021071301160005" target="_blank"&gt;Verified by Public Record&lt;/a&gt;</t>
  </si>
  <si>
    <t>&lt;a href="http://a836-acris.nyc.gov/DS/DocumentSearch/DocumentDetail?doc_id=2021052101008006" target="_blank"&gt;Verified by Public Record&lt;/a&gt;</t>
  </si>
  <si>
    <t>&lt;a href="http://a836-acris.nyc.gov/DS/DocumentSearch/DocumentDetail?doc_id=2021042101249001" target="_blank"&gt;Verified by Public Record&lt;/a&gt;</t>
  </si>
  <si>
    <t>&lt;a href="http://a836-acris.nyc.gov/DS/DocumentSearch/DocumentDetail?doc_id=2016060900691001" target="_blank"&gt;Public Record Only&lt;/a&gt;</t>
  </si>
  <si>
    <t>&lt;a href="http://a836-acris.nyc.gov/DS/DocumentSearch/DocumentDetail?doc_id=2021040700212001" target="_blank"&gt;Verified by Public Record&lt;/a&gt;</t>
  </si>
  <si>
    <t>&lt;a href="http://a836-acris.nyc.gov/DS/DocumentSearch/DocumentDetail?doc_id=2020022300012001" target="_blank"&gt;Verified by Public Record&lt;/a&gt;</t>
  </si>
  <si>
    <t>&lt;a href="http://a836-acris.nyc.gov/DS/DocumentSearch/DocumentDetail?doc_id=2018030500926001" target="_blank"&gt;Verified by Public Record&lt;/a&gt;</t>
  </si>
  <si>
    <t>&lt;a href="http://a836-acris.nyc.gov/DS/DocumentSearch/DocumentDetail?doc_id=2020020500431001" target="_blank"&gt;Verified by Public Record&lt;/a&gt;</t>
  </si>
  <si>
    <t>&lt;a href="http://a836-acris.nyc.gov/DS/DocumentSearch/DocumentDetail?doc_id=2021052601582001" target="_blank"&gt;Verified by Public Record&lt;/a&gt;</t>
  </si>
  <si>
    <t>&lt;a href="http://a836-acris.nyc.gov/DS/DocumentSearch/DocumentDetail?doc_id=2020021101164001" target="_blank"&gt;Verified by Public Record&lt;/a&gt;</t>
  </si>
  <si>
    <t>&lt;a href="http://a836-acris.nyc.gov/DS/DocumentSearch/DocumentDetail?doc_id=2020011700347001" target="_blank"&gt;Verified by Public Record&lt;/a&gt;</t>
  </si>
  <si>
    <t>&lt;a href="http://a836-acris.nyc.gov/DS/DocumentSearch/DocumentDetail?doc_id=2020030200131004" target="_blank"&gt;Verified by Public Record&lt;/a&gt;</t>
  </si>
  <si>
    <t>&lt;a href="http://a836-acris.nyc.gov/DS/DocumentSearch/DocumentDetail?doc_id=2020121100239001" target="_blank"&gt;Verified by Public Record&lt;/a&gt;</t>
  </si>
  <si>
    <t>&lt;a href="http://a836-acris.nyc.gov/DS/DocumentSearch/DocumentDetail?doc_id=2020022600693002" target="_blank"&gt;Verified by Public Record&lt;/a&gt;</t>
  </si>
  <si>
    <t>&lt;a href="http://a836-acris.nyc.gov/DS/DocumentSearch/DocumentDetail?doc_id=2020022500936001" target="_blank"&gt;Verified by Public Record&lt;/a&gt;</t>
  </si>
  <si>
    <t>&lt;a href="http://a836-acris.nyc.gov/DS/DocumentSearch/DocumentDetail?doc_id=2020030500100003" target="_blank"&gt;Verified by Public Record&lt;/a&gt;</t>
  </si>
  <si>
    <t>&lt;a href="http://a836-acris.nyc.gov/DS/DocumentSearch/DocumentDetail?doc_id=2020021400523003" target="_blank"&gt;Verified by Public Record&lt;/a&gt;</t>
  </si>
  <si>
    <t>&lt;a href="http://a836-acris.nyc.gov/DS/DocumentSearch/DocumentDetail?doc_id=2020021000616001" target="_blank"&gt;Verified by Public Record&lt;/a&gt;</t>
  </si>
  <si>
    <t>&lt;a href="http://a836-acris.nyc.gov/DS/DocumentSearch/DocumentDetail?doc_id=2020020700240001" target="_blank"&gt;Verified by Public Record&lt;/a&gt;</t>
  </si>
  <si>
    <t>&lt;a href="http://a836-acris.nyc.gov/DS/DocumentSearch/DocumentDetail?doc_id=2020021400766002" target="_blank"&gt;Verified by Public Record&lt;/a&gt;</t>
  </si>
  <si>
    <t>&lt;a href="http://a836-acris.nyc.gov/DS/DocumentSearch/DocumentDetail?doc_id=2020021300174001" target="_blank"&gt;Verified by Public Record&lt;/a&gt;</t>
  </si>
  <si>
    <t>&lt;a href="http://a836-acris.nyc.gov/DS/DocumentSearch/DocumentDetail?doc_id=2020030300251001" target="_blank"&gt;Verified by Public Record&lt;/a&gt;</t>
  </si>
  <si>
    <t>Private Terrace
Private Patio
Deck
Roof Deck
Common Roof Deck
Common Outdoor Space
Private Outdoor Space</t>
  </si>
  <si>
    <t>&lt;a href="http://a836-acris.nyc.gov/DS/DocumentSearch/DocumentDetail?doc_id=2018052500359001" target="_blank"&gt;Verified by Public Record&lt;/a&gt;</t>
  </si>
  <si>
    <t>&lt;a href="http://a836-acris.nyc.gov/DS/DocumentSearch/DocumentDetail?doc_id=2015011300284002" target="_blank"&gt;Verified by Public Record&lt;/a&gt;</t>
  </si>
  <si>
    <t>&lt;a href="http://a836-acris.nyc.gov/DS/DocumentSearch/DocumentDetail?doc_id=2014120500343001" target="_blank"&gt;Verified by Public Record&lt;/a&gt;</t>
  </si>
  <si>
    <t>Deck
Common Roof Deck
Common Garden
Common Outdoor Space
Private Outdoor Space</t>
  </si>
  <si>
    <t>&lt;a href="http://a836-acris.nyc.gov/DS/DocumentSearch/DocumentDetail?doc_id=2015010900625001" target="_blank"&gt;Verified by Public Record&lt;/a&gt;</t>
  </si>
  <si>
    <t>&lt;a href="http://a836-acris.nyc.gov/DS/DocumentSearch/DocumentDetail?doc_id=2015050400952002" target="_blank"&gt;Verified by Public Record&lt;/a&gt;</t>
  </si>
  <si>
    <t>Private Terrace
Private Roof Deck
Deck
Common Roof Deck
Common Garden
Common Outdoor Space</t>
  </si>
  <si>
    <t>&lt;a href="http://a836-acris.nyc.gov/DS/DocumentSearch/DocumentDetail?doc_id=2018050400671001" target="_blank"&gt;Verified by Public Record&lt;/a&gt;</t>
  </si>
  <si>
    <t>&lt;a href="http://a836-acris.nyc.gov/DS/DocumentSearch/DocumentDetail?doc_id=2021072701196001" target="_blank"&gt;Verified by Public Record&lt;/a&gt;</t>
  </si>
  <si>
    <t>&lt;a href="http://a836-acris.nyc.gov/DS/DocumentSearch/DocumentDetail?doc_id=2019021800080001" target="_blank"&gt;Verified by Public Record&lt;/a&gt;</t>
  </si>
  <si>
    <t>&lt;a href="http://a836-acris.nyc.gov/DS/DocumentSearch/DocumentDetail?doc_id=2016062100765001" target="_blank"&gt;Verified by Public Record&lt;/a&gt;</t>
  </si>
  <si>
    <t>&lt;a href="http://a836-acris.nyc.gov/DS/DocumentSearch/DocumentDetail?doc_id=2016051300495002" target="_blank"&gt;Verified by Public Record&lt;/a&gt;</t>
  </si>
  <si>
    <t>&lt;a href="http://a836-acris.nyc.gov/DS/DocumentSearch/DocumentDetail?doc_id=2018061100915001" target="_blank"&gt;Verified by Public Record&lt;/a&gt;</t>
  </si>
  <si>
    <t>&lt;a href="http://a836-acris.nyc.gov/DS/DocumentSearch/DocumentDetail?doc_id=2017051801208002" target="_blank"&gt;Verified by Public Record&lt;/a&gt;</t>
  </si>
  <si>
    <t>Playground
Common Garden
Common Outdoor Space
Private Outdoor Space</t>
  </si>
  <si>
    <t>&lt;a href="http://a836-acris.nyc.gov/DS/DocumentSearch/DocumentDetail?doc_id=2016081101117001" target="_blank"&gt;Verified by Public Record&lt;/a&gt;</t>
  </si>
  <si>
    <t>&lt;a href="http://a836-acris.nyc.gov/DS/DocumentSearch/DocumentDetail?doc_id=2021072101305001" target="_blank"&gt;Verified by Public Record&lt;/a&gt;</t>
  </si>
  <si>
    <t>&lt;a href="http://a836-acris.nyc.gov/DS/DocumentSearch/DocumentDetail?doc_id=2018111600915001" target="_blank"&gt;Verified by Public Record&lt;/a&gt;</t>
  </si>
  <si>
    <t>&lt;a href="http://a836-acris.nyc.gov/DS/DocumentSearch/DocumentDetail?doc_id=2016050300214002" target="_blank"&gt;Verified by Public Record&lt;/a&gt;</t>
  </si>
  <si>
    <t>&lt;a href="http://a836-acris.nyc.gov/DS/DocumentSearch/DocumentDetail?doc_id=2021070201520001" target="_blank"&gt;Verified by Public Record&lt;/a&gt;</t>
  </si>
  <si>
    <t>&lt;a href="http://a836-acris.nyc.gov/DS/DocumentSearch/DocumentDetail?doc_id=2017030600956001" target="_blank"&gt;Verified by Public Record&lt;/a&gt;</t>
  </si>
  <si>
    <t>&lt;a href="http://a836-acris.nyc.gov/DS/DocumentSearch/DocumentDetail?doc_id=2021041401392002" target="_blank"&gt;Verified by Public Record&lt;/a&gt;</t>
  </si>
  <si>
    <t>&lt;a href="http://a836-acris.nyc.gov/DS/DocumentSearch/DocumentDetail?doc_id=2017122100337001" target="_blank"&gt;Verified by Public Record&lt;/a&gt;</t>
  </si>
  <si>
    <t>&lt;a href="http://a836-acris.nyc.gov/DS/DocumentSearch/DocumentDetail?doc_id=2017061500361001" target="_blank"&gt;Verified by Public Record&lt;/a&gt;</t>
  </si>
  <si>
    <t>&lt;a href="http://a836-acris.nyc.gov/DS/DocumentSearch/DocumentDetail?doc_id=2017081300003001" target="_blank"&gt;Verified by Public Record&lt;/a&gt;</t>
  </si>
  <si>
    <t>&lt;a href="http://a836-acris.nyc.gov/DS/DocumentSearch/DocumentDetail?doc_id=2020010600831002" target="_blank"&gt;Verified by Public Record&lt;/a&gt;</t>
  </si>
  <si>
    <t>&lt;a href="http://a836-acris.nyc.gov/DS/DocumentSearch/DocumentDetail?doc_id=2020061900402003" target="_blank"&gt;Verified by Public Record&lt;/a&gt;</t>
  </si>
  <si>
    <t>&lt;a href="http://a836-acris.nyc.gov/DS/DocumentSearch/DocumentDetail?doc_id=2016121400423004" target="_blank"&gt;Verified by Public Record&lt;/a&gt;</t>
  </si>
  <si>
    <t>&lt;a href="http://a836-acris.nyc.gov/DS/DocumentSearch/DocumentDetail?doc_id=2021042600575002" target="_blank"&gt;Verified by Public Record&lt;/a&gt;</t>
  </si>
  <si>
    <t>&lt;a href="http://a836-acris.nyc.gov/DS/DocumentSearch/DocumentDetail?doc_id=2016031600196001" target="_blank"&gt;Verified by Public Record&lt;/a&gt;</t>
  </si>
  <si>
    <t>&lt;a href="http://a836-acris.nyc.gov/DS/DocumentSearch/DocumentDetail?doc_id=2017042600968002" target="_blank"&gt;Verified by Public Record&lt;/a&gt;</t>
  </si>
  <si>
    <t>&lt;a href="http://a836-acris.nyc.gov/DS/DocumentSearch/DocumentDetail?doc_id=2017063000591001" target="_blank"&gt;Verified by Public Record&lt;/a&gt;</t>
  </si>
  <si>
    <t>&lt;a href="http://a836-acris.nyc.gov/DS/DocumentSearch/DocumentDetail?doc_id=2019112600743003" target="_blank"&gt;Verified by Public Record&lt;/a&gt;</t>
  </si>
  <si>
    <t>&lt;a href="http://a836-acris.nyc.gov/DS/DocumentSearch/DocumentDetail?doc_id=2016050600423001" target="_blank"&gt;Verified by Public Record&lt;/a&gt;</t>
  </si>
  <si>
    <t>&lt;a href="http://a836-acris.nyc.gov/DS/DocumentSearch/DocumentDetail?doc_id=2016072500127001" target="_blank"&gt;Verified by Public Record&lt;/a&gt;</t>
  </si>
  <si>
    <t>&lt;a href="http://a836-acris.nyc.gov/DS/DocumentSearch/DocumentDetail?doc_id=2020071000374003" target="_blank"&gt;Verified by Public Record&lt;/a&gt;</t>
  </si>
  <si>
    <t>&lt;a href="http://a836-acris.nyc.gov/DS/DocumentSearch/DocumentDetail?doc_id=2016060900561002" target="_blank"&gt;Public Record Only&lt;/a&gt;</t>
  </si>
  <si>
    <t>&lt;a href="http://a836-acris.nyc.gov/DS/DocumentSearch/DocumentDetail?doc_id=2016102000460001" target="_blank"&gt;Public Record Only&lt;/a&gt;</t>
  </si>
  <si>
    <t>&lt;a href="http://a836-acris.nyc.gov/DS/DocumentSearch/DocumentDetail?doc_id=2016050301271001" target="_blank"&gt;Public Record Only&lt;/a&gt;</t>
  </si>
  <si>
    <t>&lt;a href="http://a836-acris.nyc.gov/DS/DocumentSearch/DocumentDetail?doc_id=2017060200219001" target="_blank"&gt;Public Record Only&lt;/a&gt;</t>
  </si>
  <si>
    <t>&lt;a href="http://a836-acris.nyc.gov/DS/DocumentSearch/DocumentDetail?doc_id=2016020200243001" target="_blank"&gt;Public Record Only&lt;/a&gt;</t>
  </si>
  <si>
    <t>&lt;a href="http://a836-acris.nyc.gov/DS/DocumentSearch/DocumentDetail?doc_id=2016042900193001" target="_blank"&gt;Verified by Public Record&lt;/a&gt;</t>
  </si>
  <si>
    <t>&lt;a href="http://a836-acris.nyc.gov/DS/DocumentSearch/DocumentDetail?doc_id=2016090801500001" target="_blank"&gt;Public Record Only&lt;/a&gt;</t>
  </si>
  <si>
    <t>&lt;a href="http://a836-acris.nyc.gov/DS/DocumentSearch/DocumentDetail?doc_id=2016032800959001" target="_blank"&gt;Public Record Only&lt;/a&gt;</t>
  </si>
  <si>
    <t>&lt;a href="http://a836-acris.nyc.gov/DS/DocumentSearch/DocumentDetail?doc_id=2016040600296003" target="_blank"&gt;Public Record Only&lt;/a&gt;</t>
  </si>
  <si>
    <t>&lt;a href="http://a836-acris.nyc.gov/DS/DocumentSearch/DocumentDetail?doc_id=2020042600032001" target="_blank"&gt;Public Record Only&lt;/a&gt;</t>
  </si>
  <si>
    <t>&lt;a href="http://a836-acris.nyc.gov/DS/DocumentSearch/DocumentDetail?doc_id=2021050601382001" target="_blank"&gt;Verified by Public Record&lt;/a&gt;</t>
  </si>
  <si>
    <t>&lt;a href="http://a836-acris.nyc.gov/DS/DocumentSearch/DocumentDetail?doc_id=2018101001023001" target="_blank"&gt;Public Record Only&lt;/a&gt;</t>
  </si>
  <si>
    <t>&lt;a href="http://a836-acris.nyc.gov/DS/DocumentSearch/DocumentDetail?doc_id=2018101801366001" target="_blank"&gt;Public Record Only&lt;/a&gt;</t>
  </si>
  <si>
    <t>Roof Deck
Common Roof Deck
Barbecue Area
Common Garden
Common Outdoor Space</t>
  </si>
  <si>
    <t>&lt;a href="http://a836-acris.nyc.gov/DS/DocumentSearch/DocumentDetail?doc_id=2018102100006001" target="_blank"&gt;Public Record Only&lt;/a&gt;</t>
  </si>
  <si>
    <t>&lt;a href="http://a836-acris.nyc.gov/DS/DocumentSearch/DocumentDetail?doc_id=2018102900175001" target="_blank"&gt;Public Record Only&lt;/a&gt;</t>
  </si>
  <si>
    <t>Financial District</t>
  </si>
  <si>
    <t>&lt;a href="http://a836-acris.nyc.gov/DS/DocumentSearch/DocumentDetail?doc_id=2018110600503002" target="_blank"&gt;Public Record Only&lt;/a&gt;</t>
  </si>
  <si>
    <t>&lt;a href="http://a836-acris.nyc.gov/DS/DocumentSearch/DocumentDetail?doc_id=2018112200005002" target="_blank"&gt;Public Record Only&lt;/a&gt;</t>
  </si>
  <si>
    <t>&lt;a href="http://a836-acris.nyc.gov/DS/DocumentSearch/DocumentDetail?doc_id=2018120600194001" target="_blank"&gt;Public Record Only&lt;/a&gt;</t>
  </si>
  <si>
    <t>&lt;a href="http://a836-acris.nyc.gov/DS/DocumentSearch/DocumentDetail?doc_id=2018121900103001" target="_blank"&gt;Public Record Only&lt;/a&gt;</t>
  </si>
  <si>
    <t>&lt;a href="http://a836-acris.nyc.gov/DS/DocumentSearch/DocumentDetail?doc_id=2018112901163001" target="_blank"&gt;Public Record Only&lt;/a&gt;</t>
  </si>
  <si>
    <t>&lt;a href="http://a836-acris.nyc.gov/DS/DocumentSearch/DocumentDetail?doc_id=2018121700707001" target="_blank"&gt;Public Record Only&lt;/a&gt;</t>
  </si>
  <si>
    <t>&lt;a href="http://a836-acris.nyc.gov/DS/DocumentSearch/DocumentDetail?doc_id=2019010200606001" target="_blank"&gt;Public Record Only&lt;/a&gt;</t>
  </si>
  <si>
    <t>&lt;a href="http://a836-acris.nyc.gov/DS/DocumentSearch/DocumentDetail?doc_id=2018102601053001" target="_blank"&gt;Public Record Only&lt;/a&gt;</t>
  </si>
  <si>
    <t>&lt;a href="http://a836-acris.nyc.gov/DS/DocumentSearch/DocumentDetail?doc_id=2019011801141001" target="_blank"&gt;Public Record Only&lt;/a&gt;</t>
  </si>
  <si>
    <t>&lt;a href="http://a836-acris.nyc.gov/DS/DocumentSearch/DocumentDetail?doc_id=2019020401367001" target="_blank"&gt;Public Record Only&lt;/a&gt;</t>
  </si>
  <si>
    <t>&lt;a href="http://a836-acris.nyc.gov/DS/DocumentSearch/DocumentDetail?doc_id=2020020500160001" target="_blank"&gt;Verified by Public Record&lt;/a&gt;</t>
  </si>
  <si>
    <t>Private Terrace
Deck
Roof Deck
Common Roof Deck
Common Outdoor Space
Private Outdoor Space</t>
  </si>
  <si>
    <t>&lt;a href="http://a836-acris.nyc.gov/DS/DocumentSearch/DocumentDetail?doc_id=2019022001089001" target="_blank"&gt;Public Record Only&lt;/a&gt;</t>
  </si>
  <si>
    <t>&lt;a href="http://a836-acris.nyc.gov/DS/DocumentSearch/DocumentDetail?doc_id=2019022500907003" target="_blank"&gt;Public Record Only&lt;/a&gt;</t>
  </si>
  <si>
    <t>&lt;a href="http://a836-acris.nyc.gov/DS/DocumentSearch/DocumentDetail?doc_id=2019022800308001" target="_blank"&gt;Public Record Only&lt;/a&gt;</t>
  </si>
  <si>
    <t>&lt;a href="http://a836-acris.nyc.gov/DS/DocumentSearch/DocumentDetail?doc_id=2019030500416001" target="_blank"&gt;Public Record Only&lt;/a&gt;</t>
  </si>
  <si>
    <t>&lt;a href="http://a836-acris.nyc.gov/DS/DocumentSearch/DocumentDetail?doc_id=2019030800315001" target="_blank"&gt;Public Record Only&lt;/a&gt;</t>
  </si>
  <si>
    <t>&lt;a href="http://a836-acris.nyc.gov/DS/DocumentSearch/DocumentDetail?doc_id=2019031400310002" target="_blank"&gt;Public Record Only&lt;/a&gt;</t>
  </si>
  <si>
    <t>&lt;a href="http://a836-acris.nyc.gov/DS/DocumentSearch/DocumentDetail?doc_id=2019032200635008" target="_blank"&gt;Public Record Only&lt;/a&gt;</t>
  </si>
  <si>
    <t>&lt;a href="http://a836-acris.nyc.gov/DS/DocumentSearch/DocumentDetail?doc_id=2019040300790001" target="_blank"&gt;Public Record Only&lt;/a&gt;</t>
  </si>
  <si>
    <t>&lt;a href="http://a836-acris.nyc.gov/DS/DocumentSearch/DocumentDetail?doc_id=2019060100014003" target="_blank"&gt;Public Record Only&lt;/a&gt;</t>
  </si>
  <si>
    <t>&lt;a href="http://a836-acris.nyc.gov/DS/DocumentSearch/DocumentDetail?doc_id=2018041101061001" target="_blank"&gt;Public Record Only&lt;/a&gt;</t>
  </si>
  <si>
    <t>&lt;a href="http://a836-acris.nyc.gov/DS/DocumentSearch/DocumentDetail?doc_id=2015022400402001" target="_blank"&gt;Public Record Only&lt;/a&gt;</t>
  </si>
  <si>
    <t>&lt;a href="http://a836-acris.nyc.gov/DS/DocumentSearch/DocumentDetail?doc_id=2014122300902001" target="_blank"&gt;Public Record Only&lt;/a&gt;</t>
  </si>
  <si>
    <t>&lt;a href="http://a836-acris.nyc.gov/DS/DocumentSearch/DocumentDetail?doc_id=2014121500201001" target="_blank"&gt;Public Record Only&lt;/a&gt;</t>
  </si>
  <si>
    <t>&lt;a href="http://a836-acris.nyc.gov/DS/DocumentSearch/DocumentDetail?doc_id=2014120101097001" target="_blank"&gt;Public Record Only&lt;/a&gt;</t>
  </si>
  <si>
    <t>&lt;a href="http://a836-acris.nyc.gov/DS/DocumentSearch/DocumentDetail?doc_id=2014122300756001" target="_blank"&gt;Public Record Only&lt;/a&gt;</t>
  </si>
  <si>
    <t>&lt;a href="http://a836-acris.nyc.gov/DS/DocumentSearch/DocumentDetail?doc_id=2014120101183001" target="_blank"&gt;Public Record Only&lt;/a&gt;</t>
  </si>
  <si>
    <t>&lt;a href="http://a836-acris.nyc.gov/DS/DocumentSearch/DocumentDetail?doc_id=2015041301197001" target="_blank"&gt;Public Record Only&lt;/a&gt;</t>
  </si>
  <si>
    <t>&lt;a href="http://a836-acris.nyc.gov/DS/DocumentSearch/DocumentDetail?doc_id=2014122700031001" target="_blank"&gt;Public Record Only&lt;/a&gt;</t>
  </si>
  <si>
    <t>&lt;a href="http://a836-acris.nyc.gov/DS/DocumentSearch/DocumentDetail?doc_id=2014122300749001" target="_blank"&gt;Public Record Only&lt;/a&gt;</t>
  </si>
  <si>
    <t>&lt;a href="http://a836-acris.nyc.gov/DS/DocumentSearch/DocumentDetail?doc_id=2019042501195003" target="_blank"&gt;Public Record Only&lt;/a&gt;</t>
  </si>
  <si>
    <t>&lt;a href="http://a836-acris.nyc.gov/DS/DocumentSearch/DocumentDetail?doc_id=2019053100044001" target="_blank"&gt;Public Record Only&lt;/a&gt;</t>
  </si>
  <si>
    <t>&lt;a href="http://a836-acris.nyc.gov/DS/DocumentSearch/DocumentDetail?doc_id=2019051000054001" target="_blank"&gt;Public Record Only&lt;/a&gt;</t>
  </si>
  <si>
    <t>&lt;a href="http://a836-acris.nyc.gov/DS/DocumentSearch/DocumentDetail?doc_id=2019051000066001" target="_blank"&gt;Public Record Only&lt;/a&gt;</t>
  </si>
  <si>
    <t>&lt;a href="http://a836-acris.nyc.gov/DS/DocumentSearch/DocumentDetail?doc_id=2019061101027001" target="_blank"&gt;Public Record Only&lt;/a&gt;</t>
  </si>
  <si>
    <t>&lt;a href="http://a836-acris.nyc.gov/DS/DocumentSearch/DocumentDetail?doc_id=2019051000064001" target="_blank"&gt;Public Record Only&lt;/a&gt;</t>
  </si>
  <si>
    <t>&lt;a href="http://a836-acris.nyc.gov/DS/DocumentSearch/DocumentDetail?doc_id=2015072800529001" target="_blank"&gt;Public Record Only&lt;/a&gt;</t>
  </si>
  <si>
    <t>&lt;a href="http://a836-acris.nyc.gov/DS/DocumentSearch/DocumentDetail?doc_id=2015072300008002" target="_blank"&gt;Public Record Only&lt;/a&gt;</t>
  </si>
  <si>
    <t>&lt;a href="http://a836-acris.nyc.gov/DS/DocumentSearch/DocumentDetail?doc_id=2015060301605001" target="_blank"&gt;Public Record Only&lt;/a&gt;</t>
  </si>
  <si>
    <t>&lt;a href="http://a836-acris.nyc.gov/DS/DocumentSearch/DocumentDetail?doc_id=2015060500971001" target="_blank"&gt;Public Record Only&lt;/a&gt;</t>
  </si>
  <si>
    <t>&lt;a href="http://a836-acris.nyc.gov/DS/DocumentSearch/DocumentDetail?doc_id=2015061500374002" target="_blank"&gt;Public Record Only&lt;/a&gt;</t>
  </si>
  <si>
    <t>&lt;a href="http://a836-acris.nyc.gov/DS/DocumentSearch/DocumentDetail?doc_id=2015061800364001" target="_blank"&gt;Public Record Only&lt;/a&gt;</t>
  </si>
  <si>
    <t>&lt;a href="http://a836-acris.nyc.gov/DS/DocumentSearch/DocumentDetail?doc_id=2019052400591001" target="_blank"&gt;Public Record Only&lt;/a&gt;</t>
  </si>
  <si>
    <t>&lt;a href="http://a836-acris.nyc.gov/DS/DocumentSearch/DocumentDetail?doc_id=2019050100769001" target="_blank"&gt;Public Record Only&lt;/a&gt;</t>
  </si>
  <si>
    <t>&lt;a href="http://a836-acris.nyc.gov/DS/DocumentSearch/DocumentDetail?doc_id=2019051700005001" target="_blank"&gt;Public Record Only&lt;/a&gt;</t>
  </si>
  <si>
    <t>&lt;a href="http://a836-acris.nyc.gov/DS/DocumentSearch/DocumentDetail?doc_id=2019052400442001" target="_blank"&gt;Public Record Only&lt;/a&gt;</t>
  </si>
  <si>
    <t>&lt;a href="http://a836-acris.nyc.gov/DS/DocumentSearch/DocumentDetail?doc_id=2017061200870003" target="_blank"&gt;Public Record Only&lt;/a&gt;</t>
  </si>
  <si>
    <t>&lt;a href="http://a836-acris.nyc.gov/DS/DocumentSearch/DocumentDetail?doc_id=2018041000577004" target="_blank"&gt;Public Record Only&lt;/a&gt;</t>
  </si>
  <si>
    <t>&lt;a href="http://a836-acris.nyc.gov/DS/DocumentSearch/DocumentDetail?doc_id=2017083100747001" target="_blank"&gt;Public Record Only&lt;/a&gt;</t>
  </si>
  <si>
    <t>&lt;a href="http://a836-acris.nyc.gov/DS/DocumentSearch/DocumentDetail?doc_id=2017083100634004" target="_blank"&gt;Public Record Only&lt;/a&gt;</t>
  </si>
  <si>
    <t>&lt;a href="http://a836-acris.nyc.gov/DS/DocumentSearch/DocumentDetail?doc_id=2017091300810001" target="_blank"&gt;Public Record Only&lt;/a&gt;</t>
  </si>
  <si>
    <t>&lt;a href="http://a836-acris.nyc.gov/DS/DocumentSearch/DocumentDetail?doc_id=2017091100163001" target="_blank"&gt;Public Record Only&lt;/a&gt;</t>
  </si>
  <si>
    <t>&lt;a href="http://a836-acris.nyc.gov/DS/DocumentSearch/DocumentDetail?doc_id=2017071900068003" target="_blank"&gt;Public Record Only&lt;/a&gt;</t>
  </si>
  <si>
    <t>&lt;a href="http://a836-acris.nyc.gov/DS/DocumentSearch/DocumentDetail?doc_id=2017083000474001" target="_blank"&gt;Public Record Only&lt;/a&gt;</t>
  </si>
  <si>
    <t>&lt;a href="http://a836-acris.nyc.gov/DS/DocumentSearch/DocumentDetail?doc_id=2018031200091001" target="_blank"&gt;Public Record Only&lt;/a&gt;</t>
  </si>
  <si>
    <t>&lt;a href="http://a836-acris.nyc.gov/DS/DocumentSearch/DocumentDetail?doc_id=2016110900556001" target="_blank"&gt;Public Record Only&lt;/a&gt;</t>
  </si>
  <si>
    <t>&lt;a href="http://a836-acris.nyc.gov/DS/DocumentSearch/DocumentDetail?doc_id=2017100301175001" target="_blank"&gt;Public Record Only&lt;/a&gt;</t>
  </si>
  <si>
    <t>&lt;a href="http://a836-acris.nyc.gov/DS/DocumentSearch/DocumentDetail?doc_id=2017013000695002" target="_blank"&gt;Public Record Only&lt;/a&gt;</t>
  </si>
  <si>
    <t>&lt;a href="http://a836-acris.nyc.gov/DS/DocumentSearch/DocumentDetail?doc_id=2017092900289001" target="_blank"&gt;Public Record Only&lt;/a&gt;</t>
  </si>
  <si>
    <t>&lt;a href="http://a836-acris.nyc.gov/DS/DocumentSearch/DocumentDetail?doc_id=2017062001068001" target="_blank"&gt;Public Record Only&lt;/a&gt;</t>
  </si>
  <si>
    <t>&lt;a href="http://a836-acris.nyc.gov/DS/DocumentSearch/DocumentDetail?doc_id=2017013000229001" target="_blank"&gt;Public Record Only&lt;/a&gt;</t>
  </si>
  <si>
    <t>&lt;a href="http://a836-acris.nyc.gov/DS/DocumentSearch/DocumentDetail?doc_id=2017092901209003" target="_blank"&gt;Public Record Only&lt;/a&gt;</t>
  </si>
  <si>
    <t>&lt;a href="http://a836-acris.nyc.gov/DS/DocumentSearch/DocumentDetail?doc_id=2017022100651004" target="_blank"&gt;Public Record Only&lt;/a&gt;</t>
  </si>
  <si>
    <t>&lt;a href="http://a836-acris.nyc.gov/DS/DocumentSearch/DocumentDetail?doc_id=2017020301196001" target="_blank"&gt;Public Record Only&lt;/a&gt;</t>
  </si>
  <si>
    <t>&lt;a href="http://a836-acris.nyc.gov/DS/DocumentSearch/DocumentDetail?doc_id=2017092600640001" target="_blank"&gt;Public Record Only&lt;/a&gt;</t>
  </si>
  <si>
    <t>&lt;a href="http://a836-acris.nyc.gov/DS/DocumentSearch/DocumentDetail?doc_id=2017060800722003" target="_blank"&gt;Public Record Only&lt;/a&gt;</t>
  </si>
  <si>
    <t>&lt;a href="http://a836-acris.nyc.gov/DS/DocumentSearch/DocumentDetail?doc_id=2017051200548002" target="_blank"&gt;Public Record Only&lt;/a&gt;</t>
  </si>
  <si>
    <t>&lt;a href="http://a836-acris.nyc.gov/DS/DocumentSearch/DocumentDetail?doc_id=2017100900197001" target="_blank"&gt;Public Record Only&lt;/a&gt;</t>
  </si>
  <si>
    <t>&lt;a href="http://a836-acris.nyc.gov/DS/DocumentSearch/DocumentDetail?doc_id=2017072100965004" target="_blank"&gt;Public Record Only&lt;/a&gt;</t>
  </si>
  <si>
    <t>&lt;a href="http://a836-acris.nyc.gov/DS/DocumentSearch/DocumentDetail?doc_id=2017092700019003" target="_blank"&gt;Public Record Only&lt;/a&gt;</t>
  </si>
  <si>
    <t>&lt;a href="http://a836-acris.nyc.gov/DS/DocumentSearch/DocumentDetail?doc_id=2017060501295002" target="_blank"&gt;Public Record Only&lt;/a&gt;</t>
  </si>
  <si>
    <t>&lt;a href="http://a836-acris.nyc.gov/DS/DocumentSearch/DocumentDetail?doc_id=2017092200016001" target="_blank"&gt;Public Record Only&lt;/a&gt;</t>
  </si>
  <si>
    <t>&lt;a href="http://a836-acris.nyc.gov/DS/DocumentSearch/DocumentDetail?doc_id=2017051100704002" target="_blank"&gt;Public Record Only&lt;/a&gt;</t>
  </si>
  <si>
    <t>&lt;a href="http://a836-acris.nyc.gov/DS/DocumentSearch/DocumentDetail?doc_id=2017100400271003" target="_blank"&gt;Public Record Only&lt;/a&gt;</t>
  </si>
  <si>
    <t>&lt;a href="http://a836-acris.nyc.gov/DS/DocumentSearch/DocumentDetail?doc_id=2017092700720005" target="_blank"&gt;Public Record Only&lt;/a&gt;</t>
  </si>
  <si>
    <t>&lt;a href="http://a836-acris.nyc.gov/DS/DocumentSearch/DocumentDetail?doc_id=2017120800521001" target="_blank"&gt;Public Record Only&lt;/a&gt;</t>
  </si>
  <si>
    <t>&lt;a href="http://a836-acris.nyc.gov/DS/DocumentSearch/DocumentDetail?doc_id=2017120700279001" target="_blank"&gt;Public Record Only&lt;/a&gt;</t>
  </si>
  <si>
    <t>&lt;a href="http://a836-acris.nyc.gov/DS/DocumentSearch/DocumentDetail?doc_id=2017122800433001" target="_blank"&gt;Public Record Only&lt;/a&gt;</t>
  </si>
  <si>
    <t>&lt;a href="http://a836-acris.nyc.gov/DS/DocumentSearch/DocumentDetail?doc_id=2017121100161001" target="_blank"&gt;Public Record Only&lt;/a&gt;</t>
  </si>
  <si>
    <t>&lt;a href="http://a836-acris.nyc.gov/DS/DocumentSearch/DocumentDetail?doc_id=2017120600090001" target="_blank"&gt;Public Record Only&lt;/a&gt;</t>
  </si>
  <si>
    <t>&lt;a href="http://a836-acris.nyc.gov/DS/DocumentSearch/DocumentDetail?doc_id=2017120900092001" target="_blank"&gt;Public Record Only&lt;/a&gt;</t>
  </si>
  <si>
    <t>&lt;a href="http://a836-acris.nyc.gov/DS/DocumentSearch/DocumentDetail?doc_id=2018020700707001" target="_blank"&gt;Public Record Only&lt;/a&gt;</t>
  </si>
  <si>
    <t>&lt;a href="http://a836-acris.nyc.gov/DS/DocumentSearch/DocumentDetail?doc_id=2017121200024001" target="_blank"&gt;Public Record Only&lt;/a&gt;</t>
  </si>
  <si>
    <t>&lt;a href="http://a836-acris.nyc.gov/DS/DocumentSearch/DocumentDetail?doc_id=2017112900306003" target="_blank"&gt;Public Record Only&lt;/a&gt;</t>
  </si>
  <si>
    <t>&lt;a href="http://a836-acris.nyc.gov/DS/DocumentSearch/DocumentDetail?doc_id=2017121201156001" target="_blank"&gt;Public Record Only&lt;/a&gt;</t>
  </si>
  <si>
    <t>&lt;a href="http://a836-acris.nyc.gov/DS/DocumentSearch/DocumentDetail?doc_id=2017041100043006" target="_blank"&gt;Public Record Only&lt;/a&gt;</t>
  </si>
  <si>
    <t>&lt;a href="http://a836-acris.nyc.gov/DS/DocumentSearch/DocumentDetail?doc_id=2018011100281001" target="_blank"&gt;Public Record Only&lt;/a&gt;</t>
  </si>
  <si>
    <t>&lt;a href="http://a836-acris.nyc.gov/DS/DocumentSearch/DocumentDetail?doc_id=2018051100715004" target="_blank"&gt;Public Record Only&lt;/a&gt;</t>
  </si>
  <si>
    <t>&lt;a href="http://a836-acris.nyc.gov/DS/DocumentSearch/DocumentDetail?doc_id=2015083100362001" target="_blank"&gt;Public Record Only&lt;/a&gt;</t>
  </si>
  <si>
    <t>&lt;a href="http://a836-acris.nyc.gov/DS/DocumentSearch/DocumentDetail?doc_id=2015081800102002" target="_blank"&gt;Public Record Only&lt;/a&gt;</t>
  </si>
  <si>
    <t>&lt;a href="http://a836-acris.nyc.gov/DS/DocumentSearch/DocumentDetail?doc_id=2015081201344001" target="_blank"&gt;Public Record Only&lt;/a&gt;</t>
  </si>
  <si>
    <t>&lt;a href="http://a836-acris.nyc.gov/DS/DocumentSearch/DocumentDetail?doc_id=2015082500166001" target="_blank"&gt;Public Record Only&lt;/a&gt;</t>
  </si>
  <si>
    <t>&lt;a href="http://a836-acris.nyc.gov/DS/DocumentSearch/DocumentDetail?doc_id=2015091500381001" target="_blank"&gt;Public Record Only&lt;/a&gt;</t>
  </si>
  <si>
    <t>&lt;a href="http://a836-acris.nyc.gov/DS/DocumentSearch/DocumentDetail?doc_id=2015090200753001" target="_blank"&gt;Public Record Only&lt;/a&gt;</t>
  </si>
  <si>
    <t>&lt;a href="http://a836-acris.nyc.gov/DS/DocumentSearch/DocumentDetail?doc_id=2015082400370001" target="_blank"&gt;Public Record Only&lt;/a&gt;</t>
  </si>
  <si>
    <t>&lt;a href="http://a836-acris.nyc.gov/DS/DocumentSearch/DocumentDetail?doc_id=2015081101329001" target="_blank"&gt;Public Record Only&lt;/a&gt;</t>
  </si>
  <si>
    <t>&lt;a href="http://a836-acris.nyc.gov/DS/DocumentSearch/DocumentDetail?doc_id=2015081300407002" target="_blank"&gt;Public Record Only&lt;/a&gt;</t>
  </si>
  <si>
    <t>&lt;a href="http://a836-acris.nyc.gov/DS/DocumentSearch/DocumentDetail?doc_id=2016042000180001" target="_blank"&gt;Public Record Only&lt;/a&gt;</t>
  </si>
  <si>
    <t>&lt;a href="http://a836-acris.nyc.gov/DS/DocumentSearch/DocumentDetail?doc_id=2015060101145001" target="_blank"&gt;Public Record Only&lt;/a&gt;</t>
  </si>
  <si>
    <t>&lt;a href="http://a836-acris.nyc.gov/DS/DocumentSearch/DocumentDetail?doc_id=2014121500540001" target="_blank"&gt;Public Record Only&lt;/a&gt;</t>
  </si>
  <si>
    <t>&lt;a href="http://a836-acris.nyc.gov/DS/DocumentSearch/DocumentDetail?doc_id=2015022300893003" target="_blank"&gt;Public Record Only&lt;/a&gt;</t>
  </si>
  <si>
    <t>&lt;a href="http://a836-acris.nyc.gov/DS/DocumentSearch/DocumentDetail?doc_id=2018031301035001" target="_blank"&gt;Public Record Only&lt;/a&gt;</t>
  </si>
  <si>
    <t>&lt;a href="http://a836-acris.nyc.gov/DS/DocumentSearch/DocumentDetail?doc_id=2018060601210001" target="_blank"&gt;Public Record Only&lt;/a&gt;</t>
  </si>
  <si>
    <t>&lt;a href="http://a836-acris.nyc.gov/DS/DocumentSearch/DocumentDetail?doc_id=2016062300516001" target="_blank"&gt;Public Record Only&lt;/a&gt;</t>
  </si>
  <si>
    <t>&lt;a href="http://a836-acris.nyc.gov/DS/DocumentSearch/DocumentDetail?doc_id=2014060200532006" target="_blank"&gt;Public Record Only&lt;/a&gt;</t>
  </si>
  <si>
    <t>&lt;a href="http://a836-acris.nyc.gov/DS/DocumentSearch/DocumentDetail?doc_id=2016020901049001" target="_blank"&gt;Public Record Only&lt;/a&gt;</t>
  </si>
  <si>
    <t>&lt;a href="http://a836-acris.nyc.gov/DS/DocumentSearch/DocumentDetail?doc_id=2016012100157001" target="_blank"&gt;Public Record Only&lt;/a&gt;</t>
  </si>
  <si>
    <t>&lt;a href="http://a836-acris.nyc.gov/DS/DocumentSearch/DocumentDetail?doc_id=2015101400971002" target="_blank"&gt;Public Record Only&lt;/a&gt;</t>
  </si>
  <si>
    <t>&lt;a href="http://a836-acris.nyc.gov/DS/DocumentSearch/DocumentDetail?doc_id=2015102800940001" target="_blank"&gt;Public Record Only&lt;/a&gt;</t>
  </si>
  <si>
    <t>&lt;a href="http://a836-acris.nyc.gov/DS/DocumentSearch/DocumentDetail?doc_id=2016092600126001" target="_blank"&gt;Public Record Only&lt;/a&gt;</t>
  </si>
  <si>
    <t>&lt;a href="http://a836-acris.nyc.gov/DS/DocumentSearch/DocumentDetail?doc_id=2016041400495001" target="_blank"&gt;Verified by Public Record&lt;/a&gt;</t>
  </si>
  <si>
    <t>&lt;a href="http://a836-acris.nyc.gov/DS/DocumentSearch/DocumentDetail?doc_id=2018011201797002" target="_blank"&gt;Public Record Only&lt;/a&gt;</t>
  </si>
  <si>
    <t>&lt;a href="http://a836-acris.nyc.gov/DS/DocumentSearch/DocumentDetail?doc_id=2017010901432001" target="_blank"&gt;Public Record Only&lt;/a&gt;</t>
  </si>
  <si>
    <t>&lt;a href="http://a836-acris.nyc.gov/DS/DocumentSearch/DocumentDetail?doc_id=2016070800508001" target="_blank"&gt;Public Record Only&lt;/a&gt;</t>
  </si>
  <si>
    <t>&lt;a href="http://a836-acris.nyc.gov/DS/DocumentSearch/DocumentDetail?doc_id=2016070800508004" target="_blank"&gt;Public Record Only&lt;/a&gt;</t>
  </si>
  <si>
    <t>&lt;a href="http://a836-acris.nyc.gov/DS/DocumentSearch/DocumentDetail?doc_id=2016072200185001" target="_blank"&gt;Public Record Only&lt;/a&gt;</t>
  </si>
  <si>
    <t>&lt;a href="http://a836-acris.nyc.gov/DS/DocumentSearch/DocumentDetail?doc_id=2014091601382001" target="_blank"&gt;Public Record Only&lt;/a&gt;</t>
  </si>
  <si>
    <t>&lt;a href="http://a836-acris.nyc.gov/DS/DocumentSearch/DocumentDetail?doc_id=2014091001383001" target="_blank"&gt;Public Record Only&lt;/a&gt;</t>
  </si>
  <si>
    <t>&lt;a href="http://a836-acris.nyc.gov/DS/DocumentSearch/DocumentDetail?doc_id=2014102001062001" target="_blank"&gt;Public Record Only&lt;/a&gt;</t>
  </si>
  <si>
    <t>&lt;a href="http://a836-acris.nyc.gov/DS/DocumentSearch/DocumentDetail?doc_id=2014091600538001" target="_blank"&gt;Public Record Only&lt;/a&gt;</t>
  </si>
  <si>
    <t>&lt;a href="http://a836-acris.nyc.gov/DS/DocumentSearch/DocumentDetail?doc_id=2014092301109001" target="_blank"&gt;Public Record Only&lt;/a&gt;</t>
  </si>
  <si>
    <t>&lt;a href="http://a836-acris.nyc.gov/DS/DocumentSearch/DocumentDetail?doc_id=2014082800428001" target="_blank"&gt;Public Record Only&lt;/a&gt;</t>
  </si>
  <si>
    <t>&lt;a href="http://a836-acris.nyc.gov/DS/DocumentSearch/DocumentDetail?doc_id=2014091800462001" target="_blank"&gt;Public Record Only&lt;/a&gt;</t>
  </si>
  <si>
    <t>&lt;a href="http://a836-acris.nyc.gov/DS/DocumentSearch/DocumentDetail?doc_id=2014100201174001" target="_blank"&gt;Public Record Only&lt;/a&gt;</t>
  </si>
  <si>
    <t>&lt;a href="http://a836-acris.nyc.gov/DS/DocumentSearch/DocumentDetail?doc_id=2014101400462001" target="_blank"&gt;Public Record Only&lt;/a&gt;</t>
  </si>
  <si>
    <t>&lt;a href="http://a836-acris.nyc.gov/DS/DocumentSearch/DocumentDetail?doc_id=2014101700258001" target="_blank"&gt;Public Record Only&lt;/a&gt;</t>
  </si>
  <si>
    <t>&lt;a href="http://a836-acris.nyc.gov/DS/DocumentSearch/DocumentDetail?doc_id=2014120600083002" target="_blank"&gt;Public Record Only&lt;/a&gt;</t>
  </si>
  <si>
    <t>&lt;a href="http://a836-acris.nyc.gov/DS/DocumentSearch/DocumentDetail?doc_id=2014110600211002" target="_blank"&gt;Public Record Only&lt;/a&gt;</t>
  </si>
  <si>
    <t>&lt;a href="http://a836-acris.nyc.gov/DS/DocumentSearch/DocumentDetail?doc_id=2014110500182001" target="_blank"&gt;Public Record Only&lt;/a&gt;</t>
  </si>
  <si>
    <t>&lt;a href="http://a836-acris.nyc.gov/DS/DocumentSearch/DocumentDetail?doc_id=2014112000889001" target="_blank"&gt;Public Record Only&lt;/a&gt;</t>
  </si>
  <si>
    <t>&lt;a href="http://a836-acris.nyc.gov/DS/DocumentSearch/DocumentDetail?doc_id=2014112000753001" target="_blank"&gt;Public Record Only&lt;/a&gt;</t>
  </si>
  <si>
    <t>&lt;a href="http://a836-acris.nyc.gov/DS/DocumentSearch/DocumentDetail?doc_id=2014111301143001" target="_blank"&gt;Public Record Only&lt;/a&gt;</t>
  </si>
  <si>
    <t>&lt;a href="http://a836-acris.nyc.gov/DS/DocumentSearch/DocumentDetail?doc_id=2014111901260003" target="_blank"&gt;Public Record Only&lt;/a&gt;</t>
  </si>
  <si>
    <t>&lt;a href="http://a836-acris.nyc.gov/DS/DocumentSearch/DocumentDetail?doc_id=2014111800595001" target="_blank"&gt;Public Record Only&lt;/a&gt;</t>
  </si>
  <si>
    <t>&lt;a href="http://a836-acris.nyc.gov/DS/DocumentSearch/DocumentDetail?doc_id=2014112501287001" target="_blank"&gt;Public Record Only&lt;/a&gt;</t>
  </si>
  <si>
    <t>&lt;a href="http://a836-acris.nyc.gov/DS/DocumentSearch/DocumentDetail?doc_id=2014112600078002" target="_blank"&gt;Public Record Only&lt;/a&gt;</t>
  </si>
  <si>
    <t>&lt;a href="http://a836-acris.nyc.gov/DS/DocumentSearch/DocumentDetail?doc_id=2014112401024002" target="_blank"&gt;Public Record Only&lt;/a&gt;</t>
  </si>
  <si>
    <t>&lt;a href="http://a836-acris.nyc.gov/DS/DocumentSearch/DocumentDetail?doc_id=2014121701011002" target="_blank"&gt;Public Record Only&lt;/a&gt;</t>
  </si>
  <si>
    <t>&lt;a href="http://a836-acris.nyc.gov/DS/DocumentSearch/DocumentDetail?doc_id=2014122201227001" target="_blank"&gt;Public Record Only&lt;/a&gt;</t>
  </si>
  <si>
    <t>&lt;a href="http://a836-acris.nyc.gov/DS/DocumentSearch/DocumentDetail?doc_id=2014123000320001" target="_blank"&gt;Public Record Only&lt;/a&gt;</t>
  </si>
  <si>
    <t>&lt;a href="http://a836-acris.nyc.gov/DS/DocumentSearch/DocumentDetail?doc_id=2014070202937001" target="_blank"&gt;Public Record Only&lt;/a&gt;</t>
  </si>
  <si>
    <t>&lt;a href="http://a836-acris.nyc.gov/DS/DocumentSearch/DocumentDetail?doc_id=2017100400243001" target="_blank"&gt;Public Record Only&lt;/a&gt;</t>
  </si>
  <si>
    <t>&lt;a href="http://a836-acris.nyc.gov/DS/DocumentSearch/DocumentDetail?doc_id=2017072400185003" target="_blank"&gt;Public Record Only&lt;/a&gt;</t>
  </si>
  <si>
    <t>&lt;a href="http://a836-acris.nyc.gov/DS/DocumentSearch/DocumentDetail?doc_id=2017092100236001" target="_blank"&gt;Public Record Only&lt;/a&gt;</t>
  </si>
  <si>
    <t>&lt;a href="http://a836-acris.nyc.gov/DS/DocumentSearch/DocumentDetail?doc_id=2017071901296001" target="_blank"&gt;Public Record Only&lt;/a&gt;</t>
  </si>
  <si>
    <t>&lt;a href="http://a836-acris.nyc.gov/DS/DocumentSearch/DocumentDetail?doc_id=2017062300429002" target="_blank"&gt;Public Record Only&lt;/a&gt;</t>
  </si>
  <si>
    <t>&lt;a href="http://a836-acris.nyc.gov/DS/DocumentSearch/DocumentDetail?doc_id=2017070500602001" target="_blank"&gt;Public Record Only&lt;/a&gt;</t>
  </si>
  <si>
    <t>&lt;a href="http://a836-acris.nyc.gov/DS/DocumentSearch/DocumentDetail?doc_id=2017062300528001" target="_blank"&gt;Public Record Only&lt;/a&gt;</t>
  </si>
  <si>
    <t>&lt;a href="http://a836-acris.nyc.gov/DS/DocumentSearch/DocumentDetail?doc_id=2017080101182001" target="_blank"&gt;Public Record Only&lt;/a&gt;</t>
  </si>
  <si>
    <t>&lt;a href="http://a836-acris.nyc.gov/DS/DocumentSearch/DocumentDetail?doc_id=2017051000619001" target="_blank"&gt;Public Record Only&lt;/a&gt;</t>
  </si>
  <si>
    <t>&lt;a href="http://a836-acris.nyc.gov/DS/DocumentSearch/DocumentDetail?doc_id=2017072601156002" target="_blank"&gt;Public Record Only&lt;/a&gt;</t>
  </si>
  <si>
    <t>&lt;a href="http://a836-acris.nyc.gov/DS/DocumentSearch/DocumentDetail?doc_id=2017072400221001" target="_blank"&gt;Public Record Only&lt;/a&gt;</t>
  </si>
  <si>
    <t>&lt;a href="http://a836-acris.nyc.gov/DS/DocumentSearch/DocumentDetail?doc_id=2018032901261002" target="_blank"&gt;Public Record Only&lt;/a&gt;</t>
  </si>
  <si>
    <t>&lt;a href="http://a836-acris.nyc.gov/DS/DocumentSearch/DocumentDetail?doc_id=2017090100483001" target="_blank"&gt;Public Record Only&lt;/a&gt;</t>
  </si>
  <si>
    <t>&lt;a href="http://a836-acris.nyc.gov/DS/DocumentSearch/DocumentDetail?doc_id=2017080800996001" target="_blank"&gt;Public Record Only&lt;/a&gt;</t>
  </si>
  <si>
    <t>&lt;a href="http://a836-acris.nyc.gov/DS/DocumentSearch/DocumentDetail?doc_id=2017100600226001" target="_blank"&gt;Public Record Only&lt;/a&gt;</t>
  </si>
  <si>
    <t>&lt;a href="http://a836-acris.nyc.gov/DS/DocumentSearch/DocumentDetail?doc_id=2017091300971001" target="_blank"&gt;Public Record Only&lt;/a&gt;</t>
  </si>
  <si>
    <t>&lt;a href="http://a836-acris.nyc.gov/DS/DocumentSearch/DocumentDetail?doc_id=2017051700575001" target="_blank"&gt;Public Record Only&lt;/a&gt;</t>
  </si>
  <si>
    <t>&lt;a href="http://a836-acris.nyc.gov/DS/DocumentSearch/DocumentDetail?doc_id=2017071901334001" target="_blank"&gt;Public Record Only&lt;/a&gt;</t>
  </si>
  <si>
    <t>&lt;a href="http://a836-acris.nyc.gov/DS/DocumentSearch/DocumentDetail?doc_id=2017050900803001" target="_blank"&gt;Public Record Only&lt;/a&gt;</t>
  </si>
  <si>
    <t>&lt;a href="http://a836-acris.nyc.gov/DS/DocumentSearch/DocumentDetail?doc_id=2017120701002002" target="_blank"&gt;Public Record Only&lt;/a&gt;</t>
  </si>
  <si>
    <t>&lt;a href="http://a836-acris.nyc.gov/DS/DocumentSearch/DocumentDetail?doc_id=2017081900114001" target="_blank"&gt;Public Record Only&lt;/a&gt;</t>
  </si>
  <si>
    <t>&lt;a href="http://a836-acris.nyc.gov/DS/DocumentSearch/DocumentDetail?doc_id=2017051900556001" target="_blank"&gt;Public Record Only&lt;/a&gt;</t>
  </si>
  <si>
    <t>&lt;a href="http://a836-acris.nyc.gov/DS/DocumentSearch/DocumentDetail?doc_id=2017043000073001" target="_blank"&gt;Public Record Only&lt;/a&gt;</t>
  </si>
  <si>
    <t>&lt;a href="http://a836-acris.nyc.gov/DS/DocumentSearch/DocumentDetail?doc_id=2018041601088001" target="_blank"&gt;Public Record Only&lt;/a&gt;</t>
  </si>
  <si>
    <t>&lt;a href="http://a836-acris.nyc.gov/DS/DocumentSearch/DocumentDetail?doc_id=2017112400130001" target="_blank"&gt;Public Record Only&lt;/a&gt;</t>
  </si>
  <si>
    <t>&lt;a href="http://a836-acris.nyc.gov/DS/DocumentSearch/DocumentDetail?doc_id=2017060500665001" target="_blank"&gt;Public Record Only&lt;/a&gt;</t>
  </si>
  <si>
    <t>&lt;a href="http://a836-acris.nyc.gov/DS/DocumentSearch/DocumentDetail?doc_id=2017062300545002" target="_blank"&gt;Public Record Only&lt;/a&gt;</t>
  </si>
  <si>
    <t>&lt;a href="http://a836-acris.nyc.gov/DS/DocumentSearch/DocumentDetail?doc_id=2017122000585002" target="_blank"&gt;Public Record Only&lt;/a&gt;</t>
  </si>
  <si>
    <t>&lt;a href="http://a836-acris.nyc.gov/DS/DocumentSearch/DocumentDetail?doc_id=2017071901265001" target="_blank"&gt;Public Record Only&lt;/a&gt;</t>
  </si>
  <si>
    <t>&lt;a href="http://a836-acris.nyc.gov/DS/DocumentSearch/DocumentDetail?doc_id=2018021900116001" target="_blank"&gt;Public Record Only&lt;/a&gt;</t>
  </si>
  <si>
    <t>&lt;a href="http://a836-acris.nyc.gov/DS/DocumentSearch/DocumentDetail?doc_id=2017111501232001" target="_blank"&gt;Public Record Only&lt;/a&gt;</t>
  </si>
  <si>
    <t>&lt;a href="http://a836-acris.nyc.gov/DS/DocumentSearch/DocumentDetail?doc_id=2017051100862001" target="_blank"&gt;Public Record Only&lt;/a&gt;</t>
  </si>
  <si>
    <t>&lt;a href="http://a836-acris.nyc.gov/DS/DocumentSearch/DocumentDetail?doc_id=2017052501093001" target="_blank"&gt;Public Record Only&lt;/a&gt;</t>
  </si>
  <si>
    <t>&lt;a href="http://a836-acris.nyc.gov/DS/DocumentSearch/DocumentDetail?doc_id=2017112901065001" target="_blank"&gt;Public Record Only&lt;/a&gt;</t>
  </si>
  <si>
    <t>&lt;a href="http://a836-acris.nyc.gov/DS/DocumentSearch/DocumentDetail?doc_id=2017110101856001" target="_blank"&gt;Public Record Only&lt;/a&gt;</t>
  </si>
  <si>
    <t>&lt;a href="http://a836-acris.nyc.gov/DS/DocumentSearch/DocumentDetail?doc_id=2015010600195001" target="_blank"&gt;Verified by Public Record&lt;/a&gt;</t>
  </si>
  <si>
    <t>&lt;a href="http://a836-acris.nyc.gov/DS/DocumentSearch/DocumentDetail?doc_id=2017051801102002" target="_blank"&gt;Public Record Only&lt;/a&gt;</t>
  </si>
  <si>
    <t>&lt;a href="http://a836-acris.nyc.gov/DS/DocumentSearch/DocumentDetail?doc_id=2015082500906001" target="_blank"&gt;Public Record Only&lt;/a&gt;</t>
  </si>
  <si>
    <t>&lt;a href="http://a836-acris.nyc.gov/DS/DocumentSearch/DocumentDetail?doc_id=2015033101047001" target="_blank"&gt;Public Record Only&lt;/a&gt;</t>
  </si>
  <si>
    <t>&lt;a href="http://a836-acris.nyc.gov/DS/DocumentSearch/DocumentDetail?doc_id=2015071401176001" target="_blank"&gt;Public Record Only&lt;/a&gt;</t>
  </si>
  <si>
    <t>&lt;a href="http://a836-acris.nyc.gov/DS/DocumentSearch/DocumentDetail?doc_id=2015032700942001" target="_blank"&gt;Public Record Only&lt;/a&gt;</t>
  </si>
  <si>
    <t>&lt;a href="http://a836-acris.nyc.gov/DS/DocumentSearch/DocumentDetail?doc_id=2017011600222001" target="_blank"&gt;Public Record Only&lt;/a&gt;</t>
  </si>
  <si>
    <t>&lt;a href="http://a836-acris.nyc.gov/DS/DocumentSearch/DocumentDetail?doc_id=2015070901305001" target="_blank"&gt;Public Record Only&lt;/a&gt;</t>
  </si>
  <si>
    <t>&lt;a href="http://a836-acris.nyc.gov/DS/DocumentSearch/DocumentDetail?doc_id=2015100201173002" target="_blank"&gt;Public Record Only&lt;/a&gt;</t>
  </si>
  <si>
    <t>&lt;a href="http://a836-acris.nyc.gov/DS/DocumentSearch/DocumentDetail?doc_id=2015090201449001" target="_blank"&gt;Public Record Only&lt;/a&gt;</t>
  </si>
  <si>
    <t>&lt;a href="http://a836-acris.nyc.gov/DS/DocumentSearch/DocumentDetail?doc_id=2015082700147002" target="_blank"&gt;Public Record Only&lt;/a&gt;</t>
  </si>
  <si>
    <t>&lt;a href="http://a836-acris.nyc.gov/DS/DocumentSearch/DocumentDetail?doc_id=2015061100962001" target="_blank"&gt;Public Record Only&lt;/a&gt;</t>
  </si>
  <si>
    <t>&lt;a href="http://a836-acris.nyc.gov/DS/DocumentSearch/DocumentDetail?doc_id=2015062200149001" target="_blank"&gt;Public Record Only&lt;/a&gt;</t>
  </si>
  <si>
    <t>&lt;a href="http://a836-acris.nyc.gov/DS/DocumentSearch/DocumentDetail?doc_id=2015092101248001" target="_blank"&gt;Public Record Only&lt;/a&gt;</t>
  </si>
  <si>
    <t>&lt;a href="http://a836-acris.nyc.gov/DS/DocumentSearch/DocumentDetail?doc_id=2015080400479001" target="_blank"&gt;Public Record Only&lt;/a&gt;</t>
  </si>
  <si>
    <t>&lt;a href="http://a836-acris.nyc.gov/DS/DocumentSearch/DocumentDetail?doc_id=2015080300050001" target="_blank"&gt;Public Record Only&lt;/a&gt;</t>
  </si>
  <si>
    <t>&lt;a href="http://a836-acris.nyc.gov/DS/DocumentSearch/DocumentDetail?doc_id=2015032400805001" target="_blank"&gt;Public Record Only&lt;/a&gt;</t>
  </si>
  <si>
    <t>&lt;a href="http://a836-acris.nyc.gov/DS/DocumentSearch/DocumentDetail?doc_id=2015030600581001" target="_blank"&gt;Verified by Public Record&lt;/a&gt;</t>
  </si>
  <si>
    <t>&lt;a href="http://a836-acris.nyc.gov/DS/DocumentSearch/DocumentDetail?doc_id=2015030301630001" target="_blank"&gt;Public Record Only&lt;/a&gt;</t>
  </si>
  <si>
    <t>&lt;a href="http://a836-acris.nyc.gov/DS/DocumentSearch/DocumentDetail?doc_id=2015060900475001" target="_blank"&gt;Public Record Only&lt;/a&gt;</t>
  </si>
  <si>
    <t>&lt;a href="http://a836-acris.nyc.gov/DS/DocumentSearch/DocumentDetail?doc_id=2015071401581001" target="_blank"&gt;Public Record Only&lt;/a&gt;</t>
  </si>
  <si>
    <t>&lt;a href="http://a836-acris.nyc.gov/DS/DocumentSearch/DocumentDetail?doc_id=2017020300722001" target="_blank"&gt;Public Record Only&lt;/a&gt;</t>
  </si>
  <si>
    <t>&lt;a href="http://a836-acris.nyc.gov/DS/DocumentSearch/DocumentDetail?doc_id=2015123000274003" target="_blank"&gt;Public Record Only&lt;/a&gt;</t>
  </si>
  <si>
    <t>&lt;a href="http://a836-acris.nyc.gov/DS/DocumentSearch/DocumentDetail?doc_id=2016030200335001" target="_blank"&gt;Public Record Only&lt;/a&gt;</t>
  </si>
  <si>
    <t>&lt;a href="http://a836-acris.nyc.gov/DS/DocumentSearch/DocumentDetail?doc_id=2015112501179001" target="_blank"&gt;Public Record Only&lt;/a&gt;</t>
  </si>
  <si>
    <t>&lt;a href="http://a836-acris.nyc.gov/DS/DocumentSearch/DocumentDetail?doc_id=2014070101260001" target="_blank"&gt;Public Record Only&lt;/a&gt;</t>
  </si>
  <si>
    <t>Common Roof Deck
Common Outdoor Space</t>
  </si>
  <si>
    <t>&lt;a href="http://a836-acris.nyc.gov/DS/DocumentSearch/DocumentDetail?doc_id=2014070101309001" target="_blank"&gt;Public Record Only&lt;/a&gt;</t>
  </si>
  <si>
    <t>&lt;a href="http://a836-acris.nyc.gov/DS/DocumentSearch/DocumentDetail?doc_id=2014070101489001" target="_blank"&gt;Public Record Only&lt;/a&gt;</t>
  </si>
  <si>
    <t>&lt;a href="http://a836-acris.nyc.gov/DS/DocumentSearch/DocumentDetail?doc_id=2016061500579001" target="_blank"&gt;Public Record Only&lt;/a&gt;</t>
  </si>
  <si>
    <t>&lt;a href="http://a836-acris.nyc.gov/DS/DocumentSearch/DocumentDetail?doc_id=2016051400074001" target="_blank"&gt;Public Record Only&lt;/a&gt;</t>
  </si>
  <si>
    <t>&lt;a href="http://a836-acris.nyc.gov/DS/DocumentSearch/DocumentDetail?doc_id=2016051900011003" target="_blank"&gt;Public Record Only&lt;/a&gt;</t>
  </si>
  <si>
    <t>&lt;a href="http://a836-acris.nyc.gov/DS/DocumentSearch/DocumentDetail?doc_id=2016051400030001" target="_blank"&gt;Public Record Only&lt;/a&gt;</t>
  </si>
  <si>
    <t>&lt;a href="http://a836-acris.nyc.gov/DS/DocumentSearch/DocumentDetail?doc_id=2016012700654001" target="_blank"&gt;Public Record Only&lt;/a&gt;</t>
  </si>
  <si>
    <t>&lt;a href="http://a836-acris.nyc.gov/DS/DocumentSearch/DocumentDetail?doc_id=2018020901058001" target="_blank"&gt;Public Record Only&lt;/a&gt;</t>
  </si>
  <si>
    <t>&lt;a href="http://a836-acris.nyc.gov/DS/DocumentSearch/DocumentDetail?doc_id=2016040401054001" target="_blank"&gt;Public Record Only&lt;/a&gt;</t>
  </si>
  <si>
    <t>&lt;a href="http://a836-acris.nyc.gov/DS/DocumentSearch/DocumentDetail?doc_id=2015122400810001" target="_blank"&gt;Public Record Only&lt;/a&gt;</t>
  </si>
  <si>
    <t>&lt;a href="http://a836-acris.nyc.gov/DS/DocumentSearch/DocumentDetail?doc_id=2016010501142001" target="_blank"&gt;Public Record Only&lt;/a&gt;</t>
  </si>
  <si>
    <t>&lt;a href="http://a836-acris.nyc.gov/DS/DocumentSearch/DocumentDetail?doc_id=2015122700065001" target="_blank"&gt;Public Record Only&lt;/a&gt;</t>
  </si>
  <si>
    <t>&lt;a href="http://a836-acris.nyc.gov/DS/DocumentSearch/DocumentDetail?doc_id=2016030700772001" target="_blank"&gt;Public Record Only&lt;/a&gt;</t>
  </si>
  <si>
    <t>&lt;a href="http://a836-acris.nyc.gov/DS/DocumentSearch/DocumentDetail?doc_id=2016022301260001" target="_blank"&gt;Public Record Only&lt;/a&gt;</t>
  </si>
  <si>
    <t>&lt;a href="http://a836-acris.nyc.gov/DS/DocumentSearch/DocumentDetail?doc_id=2016092601239002" target="_blank"&gt;Public Record Only&lt;/a&gt;</t>
  </si>
  <si>
    <t>&lt;a href="http://a836-acris.nyc.gov/DS/DocumentSearch/DocumentDetail?doc_id=2017072401372001" target="_blank"&gt;Public Record Only&lt;/a&gt;</t>
  </si>
  <si>
    <t>Back Yard</t>
  </si>
  <si>
    <t>&lt;a href="http://a836-acris.nyc.gov/DS/DocumentSearch/DocumentDetail?doc_id=2015063000380001" target="_blank"&gt;Public Record Only&lt;/a&gt;</t>
  </si>
  <si>
    <t>&lt;a href="http://a836-acris.nyc.gov/DS/DocumentSearch/DocumentDetail?doc_id=2016082901323001" target="_blank"&gt;Public Record Only&lt;/a&gt;</t>
  </si>
  <si>
    <t>&lt;a href="http://a836-acris.nyc.gov/DS/DocumentSearch/DocumentDetail?doc_id=2017020200342001" target="_blank"&gt;Public Record Only&lt;/a&gt;</t>
  </si>
  <si>
    <t>&lt;a href="http://a836-acris.nyc.gov/DS/DocumentSearch/DocumentDetail?doc_id=2016112200895001" target="_blank"&gt;Public Record Only&lt;/a&gt;</t>
  </si>
  <si>
    <t>&lt;a href="http://a836-acris.nyc.gov/DS/DocumentSearch/DocumentDetail?doc_id=2016061700878001" target="_blank"&gt;Public Record Only&lt;/a&gt;</t>
  </si>
  <si>
    <t>&lt;a href="http://a836-acris.nyc.gov/DS/DocumentSearch/DocumentDetail?doc_id=2017030100142001" target="_blank"&gt;Verified by Public Record&lt;/a&gt;</t>
  </si>
  <si>
    <t>&lt;a href="http://a836-acris.nyc.gov/DS/DocumentSearch/DocumentDetail?doc_id=2017101200482002" target="_blank"&gt;Public Record Only&lt;/a&gt;</t>
  </si>
  <si>
    <t>&lt;a href="http://a836-acris.nyc.gov/DS/DocumentSearch/DocumentDetail?doc_id=2020100700706002" target="_blank"&gt;Verified by Public Record&lt;/a&gt;</t>
  </si>
  <si>
    <t>&lt;a href="http://a836-acris.nyc.gov/DS/DocumentSearch/DocumentDetail?doc_id=2019041100648001" target="_blank"&gt;Public Record Only&lt;/a&gt;</t>
  </si>
  <si>
    <t>&lt;a href="http://a836-acris.nyc.gov/DS/DocumentSearch/DocumentDetail?doc_id=2019071600225001" target="_blank"&gt;Public Record Only&lt;/a&gt;</t>
  </si>
  <si>
    <t>&lt;a href="http://a836-acris.nyc.gov/DS/DocumentSearch/DocumentDetail?doc_id=2019072600422001" target="_blank"&gt;Public Record Only&lt;/a&gt;</t>
  </si>
  <si>
    <t>&lt;a href="http://a836-acris.nyc.gov/DS/DocumentSearch/DocumentDetail?doc_id=2019041100612001" target="_blank"&gt;Public Record Only&lt;/a&gt;</t>
  </si>
  <si>
    <t>&lt;a href="http://a836-acris.nyc.gov/DS/DocumentSearch/DocumentDetail?doc_id=2019082300228002" target="_blank"&gt;Public Record Only&lt;/a&gt;</t>
  </si>
  <si>
    <t>&lt;a href="http://a836-acris.nyc.gov/DS/DocumentSearch/DocumentDetail?doc_id=2019090500226003" target="_blank"&gt;Public Record Only&lt;/a&gt;</t>
  </si>
  <si>
    <t>&lt;a href="http://a836-acris.nyc.gov/DS/DocumentSearch/DocumentDetail?doc_id=2019090400691001" target="_blank"&gt;Public Record Only&lt;/a&gt;</t>
  </si>
  <si>
    <t>&lt;a href="http://a836-acris.nyc.gov/DS/DocumentSearch/DocumentDetail?doc_id=2019091600405001" target="_blank"&gt;Public Record Only&lt;/a&gt;</t>
  </si>
  <si>
    <t>&lt;a href="http://a836-acris.nyc.gov/DS/DocumentSearch/DocumentDetail?doc_id=2018041000080001" target="_blank"&gt;Public Record Only&lt;/a&gt;</t>
  </si>
  <si>
    <t>&lt;a href="http://a836-acris.nyc.gov/DS/DocumentSearch/DocumentDetail?doc_id=2018070901239001" target="_blank"&gt;Public Record Only&lt;/a&gt;</t>
  </si>
  <si>
    <t>&lt;a href="http://a836-acris.nyc.gov/DS/DocumentSearch/DocumentDetail?doc_id=2018071701241001" target="_blank"&gt;Public Record Only&lt;/a&gt;</t>
  </si>
  <si>
    <t>&lt;a href="http://a836-acris.nyc.gov/DS/DocumentSearch/DocumentDetail?doc_id=2015040300538001" target="_blank"&gt;Public Record Only&lt;/a&gt;</t>
  </si>
  <si>
    <t>&lt;a href="http://a836-acris.nyc.gov/DS/DocumentSearch/DocumentDetail?doc_id=2015090901351001" target="_blank"&gt;Public Record Only&lt;/a&gt;</t>
  </si>
  <si>
    <t>&lt;a href="http://a836-acris.nyc.gov/DS/DocumentSearch/DocumentDetail?doc_id=2015081200816001" target="_blank"&gt;Public Record Only&lt;/a&gt;</t>
  </si>
  <si>
    <t>&lt;a href="http://a836-acris.nyc.gov/DS/DocumentSearch/DocumentDetail?doc_id=2015082800186001" target="_blank"&gt;Public Record Only&lt;/a&gt;</t>
  </si>
  <si>
    <t>&lt;a href="http://a836-acris.nyc.gov/DS/DocumentSearch/DocumentDetail?doc_id=2015091400123001" target="_blank"&gt;Public Record Only&lt;/a&gt;</t>
  </si>
  <si>
    <t>&lt;a href="http://a836-acris.nyc.gov/DS/DocumentSearch/DocumentDetail?doc_id=2015081300498001" target="_blank"&gt;Public Record Only&lt;/a&gt;</t>
  </si>
  <si>
    <t>&lt;a href="http://a836-acris.nyc.gov/DS/DocumentSearch/DocumentDetail?doc_id=2015082000872002" target="_blank"&gt;Public Record Only&lt;/a&gt;</t>
  </si>
  <si>
    <t>&lt;a href="http://a836-acris.nyc.gov/DS/DocumentSearch/DocumentDetail?doc_id=2015090400654001" target="_blank"&gt;Public Record Only&lt;/a&gt;</t>
  </si>
  <si>
    <t>&lt;a href="http://a836-acris.nyc.gov/DS/DocumentSearch/DocumentDetail?doc_id=2015090800248001" target="_blank"&gt;Public Record Only&lt;/a&gt;</t>
  </si>
  <si>
    <t>&lt;a href="http://a836-acris.nyc.gov/DS/DocumentSearch/DocumentDetail?doc_id=2016042001659001" target="_blank"&gt;Public Record Only&lt;/a&gt;</t>
  </si>
  <si>
    <t>&lt;a href="http://a836-acris.nyc.gov/DS/DocumentSearch/DocumentDetail?doc_id=2016020100630002" target="_blank"&gt;Public Record Only&lt;/a&gt;</t>
  </si>
  <si>
    <t>&lt;a href="http://a836-acris.nyc.gov/DS/DocumentSearch/DocumentDetail?doc_id=2016022500491001" target="_blank"&gt;Public Record Only&lt;/a&gt;</t>
  </si>
  <si>
    <t>&lt;a href="http://a836-acris.nyc.gov/DS/DocumentSearch/DocumentDetail?doc_id=2016013100004001" target="_blank"&gt;Public Record Only&lt;/a&gt;</t>
  </si>
  <si>
    <t>&lt;a href="http://a836-acris.nyc.gov/DS/DocumentSearch/DocumentDetail?doc_id=2019121100474001" target="_blank"&gt;Public Record Only&lt;/a&gt;</t>
  </si>
  <si>
    <t>&lt;a href="http://a836-acris.nyc.gov/DS/DocumentSearch/DocumentDetail?doc_id=2019123000375001" target="_blank"&gt;Public Record Only&lt;/a&gt;</t>
  </si>
  <si>
    <t>&lt;a href="http://a836-acris.nyc.gov/DS/DocumentSearch/DocumentDetail?doc_id=2019112700052002" target="_blank"&gt;Public Record Only&lt;/a&gt;</t>
  </si>
  <si>
    <t>&lt;a href="http://a836-acris.nyc.gov/DS/DocumentSearch/DocumentDetail?doc_id=2019121600546001" target="_blank"&gt;Public Record Only&lt;/a&gt;</t>
  </si>
  <si>
    <t>&lt;a href="http://a836-acris.nyc.gov/DS/DocumentSearch/DocumentDetail?doc_id=2020010200101001" target="_blank"&gt;Public Record Only&lt;/a&gt;</t>
  </si>
  <si>
    <t>&lt;a href="http://a836-acris.nyc.gov/DS/DocumentSearch/DocumentDetail?doc_id=2016033100537001" target="_blank"&gt;Public Record Only&lt;/a&gt;</t>
  </si>
  <si>
    <t>&lt;a href="http://a836-acris.nyc.gov/DS/DocumentSearch/DocumentDetail?doc_id=2016101400387001" target="_blank"&gt;Public Record Only&lt;/a&gt;</t>
  </si>
  <si>
    <t>&lt;a href="http://a836-acris.nyc.gov/DS/DocumentSearch/DocumentDetail?doc_id=2020021400485001" target="_blank"&gt;Public Record Only&lt;/a&gt;</t>
  </si>
  <si>
    <t>&lt;a href="http://a836-acris.nyc.gov/DS/DocumentSearch/DocumentDetail?doc_id=2020021101050001" target="_blank"&gt;Public Record Only&lt;/a&gt;</t>
  </si>
  <si>
    <t>&lt;a href="http://a836-acris.nyc.gov/DS/DocumentSearch/DocumentDetail?doc_id=2020030200798002" target="_blank"&gt;Public Record Only&lt;/a&gt;</t>
  </si>
  <si>
    <t>Private Terrace
Deck
Common Roof Deck
Common Outdoor Space</t>
  </si>
  <si>
    <t>Balcony
Private Terrace
Common Roof Deck
Playground
Common Outdoor Space
Private Outdoor Space</t>
  </si>
  <si>
    <t>&lt;a href="http://a836-acris.nyc.gov/DS/DocumentSearch/DocumentDetail?doc_id=2018073100847001" target="_blank"&gt;Verified by Public Record&lt;/a&gt;</t>
  </si>
  <si>
    <t>&lt;a href="http://a836-acris.nyc.gov/DS/DocumentSearch/DocumentDetail?doc_id=2020060400511001" target="_blank"&gt;Public Record Only&lt;/a&gt;</t>
  </si>
  <si>
    <t>&lt;a href="http://a836-acris.nyc.gov/DS/DocumentSearch/DocumentDetail?doc_id=2020060400647001" target="_blank"&gt;Public Record Only&lt;/a&gt;</t>
  </si>
  <si>
    <t>&lt;a href="http://a836-acris.nyc.gov/DS/DocumentSearch/DocumentDetail?doc_id=2020061800274001" target="_blank"&gt;Public Record Only&lt;/a&gt;</t>
  </si>
  <si>
    <t>&lt;a href="http://a836-acris.nyc.gov/DS/DocumentSearch/DocumentDetail?doc_id=2020063000743007" target="_blank"&gt;Public Record Only&lt;/a&gt;</t>
  </si>
  <si>
    <t>&lt;a href="http://a836-acris.nyc.gov/DS/DocumentSearch/DocumentDetail?doc_id=2020070200451003" target="_blank"&gt;Public Record Only&lt;/a&gt;</t>
  </si>
  <si>
    <t>&lt;a href="http://a836-acris.nyc.gov/DS/DocumentSearch/DocumentDetail?doc_id=2020070800940001" target="_blank"&gt;Public Record Only&lt;/a&gt;</t>
  </si>
  <si>
    <t>&lt;a href="http://a836-acris.nyc.gov/DS/DocumentSearch/DocumentDetail?doc_id=2020071600632001" target="_blank"&gt;Public Record Only&lt;/a&gt;</t>
  </si>
  <si>
    <t>&lt;a href="http://a836-acris.nyc.gov/DS/DocumentSearch/DocumentDetail?doc_id=2020072900361001" target="_blank"&gt;Public Record Only&lt;/a&gt;</t>
  </si>
  <si>
    <t>&lt;a href="http://a836-acris.nyc.gov/DS/DocumentSearch/DocumentDetail?doc_id=2020080700010001" target="_blank"&gt;Public Record Only&lt;/a&gt;</t>
  </si>
  <si>
    <t>&lt;a href="http://a836-acris.nyc.gov/DS/DocumentSearch/DocumentDetail?doc_id=2020081800097001" target="_blank"&gt;Public Record Only&lt;/a&gt;</t>
  </si>
  <si>
    <t>&lt;a href="http://a836-acris.nyc.gov/DS/DocumentSearch/DocumentDetail?doc_id=2020091101056001" target="_blank"&gt;Public Record Only&lt;/a&gt;</t>
  </si>
  <si>
    <t>&lt;a href="http://a836-acris.nyc.gov/DS/DocumentSearch/DocumentDetail?doc_id=2020091600555001" target="_blank"&gt;Public Record Only&lt;/a&gt;</t>
  </si>
  <si>
    <t>&lt;a href="http://a836-acris.nyc.gov/DS/DocumentSearch/DocumentDetail?doc_id=2020102800142002" target="_blank"&gt;Public Record Only&lt;/a&gt;</t>
  </si>
  <si>
    <t>&lt;a href="http://a836-acris.nyc.gov/DS/DocumentSearch/DocumentDetail?doc_id=2020102200847004" target="_blank"&gt;Public Record Only&lt;/a&gt;</t>
  </si>
  <si>
    <t>&lt;a href="http://a836-acris.nyc.gov/DS/DocumentSearch/DocumentDetail?doc_id=2020102100697001" target="_blank"&gt;Public Record Only&lt;/a&gt;</t>
  </si>
  <si>
    <t>&lt;a href="http://a836-acris.nyc.gov/DS/DocumentSearch/DocumentDetail?doc_id=2020102100255001" target="_blank"&gt;Public Record Only&lt;/a&gt;</t>
  </si>
  <si>
    <t>&lt;a href="http://a836-acris.nyc.gov/DS/DocumentSearch/DocumentDetail?doc_id=2020111200993002" target="_blank"&gt;Public Record Only&lt;/a&gt;</t>
  </si>
  <si>
    <t>&lt;a href="http://a836-acris.nyc.gov/DS/DocumentSearch/DocumentDetail?doc_id=2020111201446009" target="_blank"&gt;Public Record Only&lt;/a&gt;</t>
  </si>
  <si>
    <t>&lt;a href="http://a836-acris.nyc.gov/DS/DocumentSearch/DocumentDetail?doc_id=2020110901337001" target="_blank"&gt;Public Record Only&lt;/a&gt;</t>
  </si>
  <si>
    <t>&lt;a href="http://a836-acris.nyc.gov/DS/DocumentSearch/DocumentDetail?doc_id=2020103000800001" target="_blank"&gt;Public Record Only&lt;/a&gt;</t>
  </si>
  <si>
    <t>&lt;a href="http://a836-acris.nyc.gov/DS/DocumentSearch/DocumentDetail?doc_id=2020112401449001" target="_blank"&gt;Public Record Only&lt;/a&gt;</t>
  </si>
  <si>
    <t>&lt;a href="http://a836-acris.nyc.gov/DS/DocumentSearch/DocumentDetail?doc_id=2020120800154001" target="_blank"&gt;Public Record Only&lt;/a&gt;</t>
  </si>
  <si>
    <t>&lt;a href="http://a836-acris.nyc.gov/DS/DocumentSearch/DocumentDetail?doc_id=2020121200087002" target="_blank"&gt;Public Record Only&lt;/a&gt;</t>
  </si>
  <si>
    <t>&lt;a href="http://a836-acris.nyc.gov/DS/DocumentSearch/DocumentDetail?doc_id=2021012500513001" target="_blank"&gt;Public Record Only&lt;/a&gt;</t>
  </si>
  <si>
    <t>&lt;a href="http://a836-acris.nyc.gov/DS/DocumentSearch/DocumentDetail?doc_id=2021012600498002" target="_blank"&gt;Public Record Only&lt;/a&gt;</t>
  </si>
  <si>
    <t>&lt;a href="http://a836-acris.nyc.gov/DS/DocumentSearch/DocumentDetail?doc_id=2018083100731001" target="_blank"&gt;Public Record Only&lt;/a&gt;</t>
  </si>
  <si>
    <t>&lt;a href="http://a836-acris.nyc.gov/DS/DocumentSearch/DocumentDetail?doc_id=2021020500874001" target="_blank"&gt;Public Record Only&lt;/a&gt;</t>
  </si>
  <si>
    <t>&lt;a href="http://a836-acris.nyc.gov/DS/DocumentSearch/DocumentDetail?doc_id=2020121800896001" target="_blank"&gt;Public Record Only&lt;/a&gt;</t>
  </si>
  <si>
    <t>&lt;a href="http://a836-acris.nyc.gov/DS/DocumentSearch/DocumentDetail?doc_id=2021030501038001" target="_blank"&gt;Public Record Only&lt;/a&gt;</t>
  </si>
  <si>
    <t>&lt;a href="http://a836-acris.nyc.gov/DS/DocumentSearch/DocumentDetail?doc_id=2021030900301002" target="_blank"&gt;Public Record Only&lt;/a&gt;</t>
  </si>
  <si>
    <t>&lt;a href="http://a836-acris.nyc.gov/DS/DocumentSearch/DocumentDetail?doc_id=2021041400864001" target="_blank"&gt;Verified by Public Record&lt;/a&gt;</t>
  </si>
  <si>
    <t>&lt;a href="http://a836-acris.nyc.gov/DS/DocumentSearch/DocumentDetail?doc_id=2021042700325001" target="_blank"&gt;Public Record Only&lt;/a&gt;</t>
  </si>
  <si>
    <t>&lt;a href="http://a836-acris.nyc.gov/DS/DocumentSearch/DocumentDetail?doc_id=2021041600621001" target="_blank"&gt;Public Record Only&lt;/a&gt;</t>
  </si>
  <si>
    <t>&lt;a href="http://a836-acris.nyc.gov/DS/DocumentSearch/DocumentDetail?doc_id=2021050400413001" target="_blank"&gt;Public Record Only&lt;/a&gt;</t>
  </si>
  <si>
    <t>&lt;a href="http://a836-acris.nyc.gov/DS/DocumentSearch/DocumentDetail?doc_id=2021050600412001" target="_blank"&gt;Public Record Only&lt;/a&gt;</t>
  </si>
  <si>
    <t>&lt;a href="http://a836-acris.nyc.gov/DS/DocumentSearch/DocumentDetail?doc_id=2021031501498003" target="_blank"&gt;Public Record Only&lt;/a&gt;</t>
  </si>
  <si>
    <t>&lt;a href="http://a836-acris.nyc.gov/DS/DocumentSearch/DocumentDetail?doc_id=2021060101456001" target="_blank"&gt;Public Record Only&lt;/a&gt;</t>
  </si>
  <si>
    <t>&lt;a href="http://a836-acris.nyc.gov/DS/DocumentSearch/DocumentDetail?doc_id=2018091900797001" target="_blank"&gt;Public Record Only&lt;/a&gt;</t>
  </si>
  <si>
    <t>&lt;a href="http://a836-acris.nyc.gov/DS/DocumentSearch/DocumentDetail?doc_id=2021062900367002" target="_blank"&gt;Public Record Only&lt;/a&gt;</t>
  </si>
  <si>
    <t>&lt;a href="http://a836-acris.nyc.gov/DS/DocumentSearch/DocumentDetail?doc_id=2021041401483002" target="_blank"&gt;Public Record Only&lt;/a&gt;</t>
  </si>
  <si>
    <t>&lt;a href="http://a836-acris.nyc.gov/DS/DocumentSearch/DocumentDetail?doc_id=2021070900305001" target="_blank"&gt;Public Record Only&lt;/a&gt;</t>
  </si>
  <si>
    <t>&lt;a href="http://a836-acris.nyc.gov/DS/DocumentSearch/DocumentDetail?doc_id=2021071301356001" target="_blank"&gt;Public Record Only&lt;/a&gt;</t>
  </si>
  <si>
    <t>&lt;a href="http://a836-acris.nyc.gov/DS/DocumentSearch/DocumentDetail?doc_id=2021071501171001" target="_blank"&gt;Public Record Only&lt;/a&gt;</t>
  </si>
  <si>
    <t>&lt;a href="http://a836-acris.nyc.gov/DS/DocumentSearch/DocumentDetail?doc_id=2018100300061003" target="_blank"&gt;Public Record Only&lt;/a&gt;</t>
  </si>
  <si>
    <t>&lt;a href="http://a836-acris.nyc.gov/DS/DocumentSearch/DocumentDetail?doc_id=2018092000889001" target="_blank"&gt;Public Record Only&lt;/a&gt;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</si>
</sst>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yyyy\-mm\-dd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6" fontId="1" fillId="0" borderId="0" xfId="0" applyNumberFormat="1" applyFont="1" applyAlignment="1"/>
    <xf numFmtId="3" fontId="1" fillId="0" borderId="0" xfId="0" applyNumberFormat="1" applyFont="1" applyAlignment="1"/>
    <xf numFmtId="177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003"/>
  <sheetViews>
    <sheetView tabSelected="1" workbookViewId="0">
      <selection activeCell="D12" sqref="D12"/>
    </sheetView>
  </sheetViews>
  <sheetFormatPr defaultColWidth="14.42578125" defaultRowHeight="15.75" customHeight="1" x14ac:dyDescent="0.2"/>
  <sheetData>
    <row r="1" spans="1:39" x14ac:dyDescent="0.2">
      <c r="A1" s="1" t="s">
        <v>0</v>
      </c>
    </row>
    <row r="2" spans="1:3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</row>
    <row r="3" spans="1:39" x14ac:dyDescent="0.2">
      <c r="A3" s="2" t="str">
        <f>HYPERLINK("https://www.compass.com/listing/160-west-12th-street-unit-44-manhattan-ny-10011/552169697314122641/","160 W 12th St, Unit 44")</f>
        <v>160 W 12th St, Unit 44</v>
      </c>
      <c r="B3" s="2" t="str">
        <f t="shared" ref="B3:B4" si="0">HYPERLINK("https://www.compass.com/building/the-greenwich-lane-manhattan-ny/282059161326355877/","The Greenwich Lane")</f>
        <v>The Greenwich Lane</v>
      </c>
      <c r="C3" s="1" t="s">
        <v>40</v>
      </c>
      <c r="D3" s="1" t="s">
        <v>41</v>
      </c>
      <c r="E3" s="3">
        <v>8300000</v>
      </c>
      <c r="F3" s="1">
        <v>2945.3513129879302</v>
      </c>
      <c r="G3" s="1">
        <v>6</v>
      </c>
      <c r="H3" s="1">
        <v>4</v>
      </c>
      <c r="I3" s="1">
        <v>5</v>
      </c>
      <c r="J3" s="1">
        <v>4.5</v>
      </c>
      <c r="K3" s="1">
        <v>4</v>
      </c>
      <c r="L3" s="1">
        <v>1</v>
      </c>
      <c r="M3" s="4">
        <v>2818</v>
      </c>
      <c r="N3" s="1">
        <v>4898</v>
      </c>
      <c r="O3" s="1">
        <v>9903</v>
      </c>
      <c r="P3" s="1">
        <v>5005</v>
      </c>
      <c r="S3" s="1" t="s">
        <v>42</v>
      </c>
      <c r="T3" s="1" t="s">
        <v>43</v>
      </c>
      <c r="U3" s="1">
        <v>41</v>
      </c>
      <c r="V3" s="5">
        <v>44386</v>
      </c>
      <c r="W3" s="5">
        <v>44386</v>
      </c>
      <c r="X3" s="1">
        <v>8300000</v>
      </c>
      <c r="AB3" s="1" t="s">
        <v>44</v>
      </c>
      <c r="AF3" s="1">
        <v>10011</v>
      </c>
      <c r="AI3" s="1" t="s">
        <v>45</v>
      </c>
      <c r="AJ3" s="1">
        <v>2016</v>
      </c>
      <c r="AK3" s="1" t="s">
        <v>46</v>
      </c>
      <c r="AL3" s="1">
        <v>57</v>
      </c>
    </row>
    <row r="4" spans="1:39" x14ac:dyDescent="0.2">
      <c r="A4" s="2" t="str">
        <f>HYPERLINK("https://www.compass.com/listing/160-west-12th-street-unit-57-manhattan-ny-10011/817218773964688281/","160 W 12th St, Unit 57")</f>
        <v>160 W 12th St, Unit 57</v>
      </c>
      <c r="B4" s="2" t="str">
        <f t="shared" si="0"/>
        <v>The Greenwich Lane</v>
      </c>
      <c r="C4" s="1" t="s">
        <v>40</v>
      </c>
      <c r="D4" s="1" t="s">
        <v>41</v>
      </c>
      <c r="E4" s="3">
        <v>4900000</v>
      </c>
      <c r="F4" s="1">
        <v>2808.0229226360998</v>
      </c>
      <c r="G4" s="1">
        <v>5</v>
      </c>
      <c r="H4" s="1">
        <v>2</v>
      </c>
      <c r="I4" s="1">
        <v>3</v>
      </c>
      <c r="J4" s="1">
        <v>2.5</v>
      </c>
      <c r="K4" s="1">
        <v>2</v>
      </c>
      <c r="L4" s="1">
        <v>1</v>
      </c>
      <c r="M4" s="4">
        <v>1745</v>
      </c>
      <c r="N4" s="1">
        <v>3000</v>
      </c>
      <c r="O4" s="1">
        <v>6750</v>
      </c>
      <c r="P4" s="1">
        <v>3750</v>
      </c>
      <c r="S4" s="1" t="s">
        <v>42</v>
      </c>
      <c r="T4" s="1" t="s">
        <v>43</v>
      </c>
      <c r="U4" s="1">
        <v>47</v>
      </c>
      <c r="V4" s="5">
        <v>44426</v>
      </c>
      <c r="W4" s="5">
        <v>44379</v>
      </c>
      <c r="X4" s="1">
        <v>4900000</v>
      </c>
      <c r="AB4" s="1" t="s">
        <v>44</v>
      </c>
      <c r="AD4" s="1" t="s">
        <v>47</v>
      </c>
      <c r="AE4" s="1" t="s">
        <v>48</v>
      </c>
      <c r="AF4" s="1">
        <v>10011</v>
      </c>
      <c r="AI4" s="1" t="s">
        <v>45</v>
      </c>
      <c r="AJ4" s="1">
        <v>2016</v>
      </c>
      <c r="AK4" s="1" t="s">
        <v>49</v>
      </c>
      <c r="AL4" s="1">
        <v>57</v>
      </c>
    </row>
    <row r="5" spans="1:39" x14ac:dyDescent="0.2">
      <c r="A5" s="2" t="str">
        <f>HYPERLINK("https://www.compass.com/listing/180-6th-avenue-unit-5a-manhattan-ny-10013/813258827975758977/","180 6th Ave, Unit 5A")</f>
        <v>180 6th Ave, Unit 5A</v>
      </c>
      <c r="B5" s="2" t="str">
        <f>HYPERLINK("https://www.compass.com/building/one-vandam-manhattan-ny/307436879024291493/","One Vandam")</f>
        <v>One Vandam</v>
      </c>
      <c r="C5" s="1" t="s">
        <v>50</v>
      </c>
      <c r="D5" s="1" t="s">
        <v>41</v>
      </c>
      <c r="E5" s="3">
        <v>3800000</v>
      </c>
      <c r="F5" s="1">
        <v>2440.59087989723</v>
      </c>
      <c r="G5" s="1">
        <v>7</v>
      </c>
      <c r="H5" s="1">
        <v>2</v>
      </c>
      <c r="I5" s="1">
        <v>3</v>
      </c>
      <c r="J5" s="1">
        <v>2.5</v>
      </c>
      <c r="K5" s="1">
        <v>2</v>
      </c>
      <c r="L5" s="1">
        <v>1</v>
      </c>
      <c r="M5" s="4">
        <v>1557</v>
      </c>
      <c r="N5" s="1">
        <v>2694</v>
      </c>
      <c r="O5" s="1">
        <v>6845</v>
      </c>
      <c r="P5" s="1">
        <v>4151</v>
      </c>
      <c r="S5" s="1" t="s">
        <v>42</v>
      </c>
      <c r="T5" s="1" t="s">
        <v>43</v>
      </c>
      <c r="U5" s="1">
        <v>34</v>
      </c>
      <c r="V5" s="5">
        <v>44393</v>
      </c>
      <c r="W5" s="5">
        <v>44393</v>
      </c>
      <c r="X5" s="1">
        <v>3800000</v>
      </c>
      <c r="AB5" s="1" t="s">
        <v>44</v>
      </c>
      <c r="AF5" s="1">
        <v>10013</v>
      </c>
      <c r="AI5" s="1" t="s">
        <v>51</v>
      </c>
      <c r="AJ5" s="1">
        <v>2014</v>
      </c>
      <c r="AK5" s="1" t="s">
        <v>49</v>
      </c>
      <c r="AL5" s="1">
        <v>25</v>
      </c>
    </row>
    <row r="6" spans="1:39" x14ac:dyDescent="0.2">
      <c r="A6" s="2" t="str">
        <f>HYPERLINK("https://www.compass.com/listing/160-west-12th-street-unit-85-manhattan-ny-10011/548556080467616977/","160 W 12th St, Unit 85")</f>
        <v>160 W 12th St, Unit 85</v>
      </c>
      <c r="B6" s="2" t="str">
        <f t="shared" ref="B6:B7" si="1">HYPERLINK("https://www.compass.com/building/the-greenwich-lane-manhattan-ny/282059161326355877/","The Greenwich Lane")</f>
        <v>The Greenwich Lane</v>
      </c>
      <c r="C6" s="1" t="s">
        <v>40</v>
      </c>
      <c r="D6" s="1" t="s">
        <v>41</v>
      </c>
      <c r="E6" s="3">
        <v>4500000</v>
      </c>
      <c r="F6" s="1">
        <v>3852.7397260273901</v>
      </c>
      <c r="G6" s="1">
        <v>3.5</v>
      </c>
      <c r="H6" s="1">
        <v>1</v>
      </c>
      <c r="I6" s="1">
        <v>2</v>
      </c>
      <c r="J6" s="1">
        <v>1.5</v>
      </c>
      <c r="K6" s="1">
        <v>1</v>
      </c>
      <c r="L6" s="1">
        <v>1</v>
      </c>
      <c r="M6" s="4">
        <v>1168</v>
      </c>
      <c r="N6" s="1">
        <v>2044.9</v>
      </c>
      <c r="O6" s="1">
        <v>4644.1399999999903</v>
      </c>
      <c r="P6" s="1">
        <v>2599.25</v>
      </c>
      <c r="S6" s="1" t="s">
        <v>42</v>
      </c>
      <c r="T6" s="1" t="s">
        <v>43</v>
      </c>
      <c r="U6" s="1">
        <v>398</v>
      </c>
      <c r="V6" s="5">
        <v>44420</v>
      </c>
      <c r="W6" s="5">
        <v>44029</v>
      </c>
      <c r="X6" s="1">
        <v>4500000</v>
      </c>
      <c r="AB6" s="1" t="s">
        <v>44</v>
      </c>
      <c r="AF6" s="1">
        <v>10011</v>
      </c>
      <c r="AI6" s="1" t="s">
        <v>45</v>
      </c>
      <c r="AJ6" s="1">
        <v>2016</v>
      </c>
      <c r="AK6" s="1" t="s">
        <v>49</v>
      </c>
      <c r="AL6" s="1">
        <v>57</v>
      </c>
    </row>
    <row r="7" spans="1:39" x14ac:dyDescent="0.2">
      <c r="A7" s="2" t="str">
        <f>HYPERLINK("https://www.compass.com/listing/160-west-12th-street-unit-86-manhattan-ny-10011/695709342679886177/","160 W 12th St, Unit 86")</f>
        <v>160 W 12th St, Unit 86</v>
      </c>
      <c r="B7" s="2" t="str">
        <f t="shared" si="1"/>
        <v>The Greenwich Lane</v>
      </c>
      <c r="C7" s="1" t="s">
        <v>40</v>
      </c>
      <c r="D7" s="1" t="s">
        <v>41</v>
      </c>
      <c r="E7" s="3">
        <v>7995000</v>
      </c>
      <c r="F7" s="1">
        <v>3148.8775108310301</v>
      </c>
      <c r="G7" s="1">
        <v>6</v>
      </c>
      <c r="H7" s="1">
        <v>3</v>
      </c>
      <c r="I7" s="1">
        <v>4</v>
      </c>
      <c r="J7" s="1">
        <v>3.5</v>
      </c>
      <c r="K7" s="1">
        <v>3</v>
      </c>
      <c r="L7" s="1">
        <v>1</v>
      </c>
      <c r="M7" s="4">
        <v>2539</v>
      </c>
      <c r="N7" s="1">
        <v>4534</v>
      </c>
      <c r="O7" s="1">
        <v>10091</v>
      </c>
      <c r="P7" s="1">
        <v>5557</v>
      </c>
      <c r="S7" s="1" t="s">
        <v>42</v>
      </c>
      <c r="T7" s="1" t="s">
        <v>43</v>
      </c>
      <c r="U7" s="1">
        <v>215</v>
      </c>
      <c r="V7" s="5">
        <v>44378</v>
      </c>
      <c r="W7" s="5">
        <v>44212</v>
      </c>
      <c r="X7" s="1">
        <v>7995000</v>
      </c>
      <c r="AB7" s="1" t="s">
        <v>44</v>
      </c>
      <c r="AF7" s="1">
        <v>10011</v>
      </c>
      <c r="AI7" s="1" t="s">
        <v>45</v>
      </c>
      <c r="AJ7" s="1">
        <v>2016</v>
      </c>
      <c r="AK7" s="1" t="s">
        <v>49</v>
      </c>
      <c r="AL7" s="1">
        <v>57</v>
      </c>
    </row>
    <row r="8" spans="1:39" x14ac:dyDescent="0.2">
      <c r="A8" s="2" t="str">
        <f>HYPERLINK("https://www.compass.com/listing/438-east-12th-street-unit-5m-manhattan-ny-10009/760928745332048113/","438 E 12th St, Unit 5M")</f>
        <v>438 E 12th St, Unit 5M</v>
      </c>
      <c r="B8" s="2" t="str">
        <f>HYPERLINK("https://www.compass.com/building/steiner-east-village-manhattan-ny/281900317572873557/","Steiner East Village")</f>
        <v>Steiner East Village</v>
      </c>
      <c r="C8" s="1" t="s">
        <v>52</v>
      </c>
      <c r="D8" s="1" t="s">
        <v>41</v>
      </c>
      <c r="E8" s="3">
        <v>3995000</v>
      </c>
      <c r="F8" s="1">
        <v>2453.9312039311999</v>
      </c>
      <c r="G8" s="1">
        <v>6</v>
      </c>
      <c r="H8" s="1">
        <v>3</v>
      </c>
      <c r="I8" s="1">
        <v>3</v>
      </c>
      <c r="J8" s="1">
        <v>2.5</v>
      </c>
      <c r="K8" s="1">
        <v>2</v>
      </c>
      <c r="L8" s="1">
        <v>1</v>
      </c>
      <c r="M8" s="4">
        <v>1628</v>
      </c>
      <c r="N8" s="1">
        <v>2320.14</v>
      </c>
      <c r="O8" s="1">
        <v>5435.3899999999903</v>
      </c>
      <c r="P8" s="1">
        <v>3115.25</v>
      </c>
      <c r="S8" s="1" t="s">
        <v>42</v>
      </c>
      <c r="T8" s="1" t="s">
        <v>43</v>
      </c>
      <c r="U8" s="1">
        <v>125</v>
      </c>
      <c r="V8" s="5">
        <v>44357</v>
      </c>
      <c r="W8" s="5">
        <v>44302</v>
      </c>
      <c r="X8" s="1">
        <v>4200000</v>
      </c>
      <c r="AB8" s="1" t="s">
        <v>44</v>
      </c>
      <c r="AF8" s="1">
        <v>10009</v>
      </c>
      <c r="AI8" s="1" t="s">
        <v>53</v>
      </c>
      <c r="AJ8" s="1">
        <v>2017</v>
      </c>
      <c r="AK8" s="1" t="s">
        <v>49</v>
      </c>
      <c r="AL8" s="1">
        <v>82</v>
      </c>
    </row>
    <row r="9" spans="1:39" x14ac:dyDescent="0.2">
      <c r="A9" s="2" t="str">
        <f>HYPERLINK("https://www.compass.com/listing/160-east-22nd-street-unit-8a-manhattan-ny-10010/709360369268680529/","160 E 22nd St, Unit 8A")</f>
        <v>160 E 22nd St, Unit 8A</v>
      </c>
      <c r="B9" s="2" t="str">
        <f>HYPERLINK("https://www.compass.com/building/160-e-22nd-st-manhattan-ny-10010/292796862321154661/","160 E 22nd St")</f>
        <v>160 E 22nd St</v>
      </c>
      <c r="C9" s="1" t="s">
        <v>54</v>
      </c>
      <c r="D9" s="1" t="s">
        <v>41</v>
      </c>
      <c r="E9" s="3">
        <v>2400000</v>
      </c>
      <c r="F9" s="1">
        <v>1985.1116625310101</v>
      </c>
      <c r="G9" s="1">
        <v>4</v>
      </c>
      <c r="H9" s="1">
        <v>2</v>
      </c>
      <c r="I9" s="1">
        <v>2</v>
      </c>
      <c r="J9" s="1">
        <v>2</v>
      </c>
      <c r="K9" s="1">
        <v>2</v>
      </c>
      <c r="M9" s="4">
        <v>1209</v>
      </c>
      <c r="N9" s="1">
        <v>1471.5</v>
      </c>
      <c r="O9" s="1">
        <v>3941.93</v>
      </c>
      <c r="P9" s="1">
        <v>2470.4166666666601</v>
      </c>
      <c r="S9" s="1" t="s">
        <v>42</v>
      </c>
      <c r="T9" s="1" t="s">
        <v>43</v>
      </c>
      <c r="U9" s="1">
        <v>194</v>
      </c>
      <c r="V9" s="5">
        <v>44411</v>
      </c>
      <c r="W9" s="5">
        <v>44231</v>
      </c>
      <c r="X9" s="1">
        <v>2500000</v>
      </c>
      <c r="AB9" s="1" t="s">
        <v>44</v>
      </c>
      <c r="AF9" s="1">
        <v>10010</v>
      </c>
      <c r="AI9" s="1" t="s">
        <v>55</v>
      </c>
      <c r="AJ9" s="1">
        <v>2012</v>
      </c>
      <c r="AK9" s="1" t="s">
        <v>49</v>
      </c>
      <c r="AL9" s="1">
        <v>81</v>
      </c>
    </row>
    <row r="10" spans="1:39" x14ac:dyDescent="0.2">
      <c r="A10" s="2" t="str">
        <f>HYPERLINK("https://www.compass.com/listing/21-west-20th-street-unit-ph-manhattan-ny-10011/649361762512827185/","21 W 20th St, Unit PH")</f>
        <v>21 W 20th St, Unit PH</v>
      </c>
      <c r="B10" s="2" t="str">
        <f>HYPERLINK("https://www.compass.com/building/21w20-manhattan-ny/281906757389799461/","21W20")</f>
        <v>21W20</v>
      </c>
      <c r="C10" s="1" t="s">
        <v>56</v>
      </c>
      <c r="D10" s="1" t="s">
        <v>41</v>
      </c>
      <c r="E10" s="3">
        <v>12995000</v>
      </c>
      <c r="F10" s="1">
        <v>4795.20295202952</v>
      </c>
      <c r="G10" s="1">
        <v>8</v>
      </c>
      <c r="H10" s="1">
        <v>3</v>
      </c>
      <c r="I10" s="1">
        <v>3</v>
      </c>
      <c r="J10" s="1">
        <v>2.5</v>
      </c>
      <c r="K10" s="1">
        <v>2</v>
      </c>
      <c r="L10" s="1">
        <v>1</v>
      </c>
      <c r="M10" s="4">
        <v>2710</v>
      </c>
      <c r="N10" s="1">
        <v>5138.1000000000004</v>
      </c>
      <c r="O10" s="1">
        <v>8949.5</v>
      </c>
      <c r="P10" s="1">
        <v>3811.4166666666601</v>
      </c>
      <c r="S10" s="1" t="s">
        <v>42</v>
      </c>
      <c r="T10" s="1" t="s">
        <v>43</v>
      </c>
      <c r="U10" s="1">
        <v>267</v>
      </c>
      <c r="V10" s="5">
        <v>44426</v>
      </c>
      <c r="W10" s="5">
        <v>44160</v>
      </c>
      <c r="X10" s="1">
        <v>12995000</v>
      </c>
      <c r="AB10" s="1" t="s">
        <v>44</v>
      </c>
      <c r="AD10" s="1" t="s">
        <v>57</v>
      </c>
      <c r="AE10" s="1" t="s">
        <v>48</v>
      </c>
      <c r="AF10" s="1">
        <v>10011</v>
      </c>
      <c r="AI10" s="1" t="s">
        <v>58</v>
      </c>
      <c r="AJ10" s="1">
        <v>2016</v>
      </c>
      <c r="AK10" s="1" t="s">
        <v>49</v>
      </c>
      <c r="AL10" s="1">
        <v>13</v>
      </c>
    </row>
    <row r="11" spans="1:39" x14ac:dyDescent="0.2">
      <c r="A11" s="2" t="str">
        <f>HYPERLINK("https://www.compass.com/listing/160-east-22nd-street-unit-7a-manhattan-ny-10010/738408816621176081/","160 E 22nd St, Unit 7A")</f>
        <v>160 E 22nd St, Unit 7A</v>
      </c>
      <c r="B11" s="2" t="str">
        <f>HYPERLINK("https://www.compass.com/building/160-e-22nd-st-manhattan-ny-10010/292796862321154661/","160 E 22nd St")</f>
        <v>160 E 22nd St</v>
      </c>
      <c r="C11" s="1" t="s">
        <v>54</v>
      </c>
      <c r="D11" s="1" t="s">
        <v>41</v>
      </c>
      <c r="E11" s="3">
        <v>2290000</v>
      </c>
      <c r="F11" s="1">
        <v>2051.9713261648699</v>
      </c>
      <c r="G11" s="1">
        <v>4</v>
      </c>
      <c r="H11" s="1">
        <v>2</v>
      </c>
      <c r="I11" s="1">
        <v>2</v>
      </c>
      <c r="J11" s="1">
        <v>2</v>
      </c>
      <c r="K11" s="1">
        <v>2</v>
      </c>
      <c r="M11" s="4">
        <v>1116</v>
      </c>
      <c r="N11" s="1">
        <v>1357</v>
      </c>
      <c r="O11" s="1">
        <v>3561</v>
      </c>
      <c r="P11" s="1">
        <v>2204</v>
      </c>
      <c r="S11" s="1" t="s">
        <v>42</v>
      </c>
      <c r="T11" s="1" t="s">
        <v>43</v>
      </c>
      <c r="U11" s="1">
        <v>156</v>
      </c>
      <c r="V11" s="5">
        <v>44410</v>
      </c>
      <c r="W11" s="5">
        <v>44271</v>
      </c>
      <c r="X11" s="1">
        <v>2398000</v>
      </c>
      <c r="AB11" s="1" t="s">
        <v>44</v>
      </c>
      <c r="AF11" s="1">
        <v>10010</v>
      </c>
      <c r="AI11" s="1" t="s">
        <v>51</v>
      </c>
      <c r="AJ11" s="1">
        <v>2012</v>
      </c>
      <c r="AK11" s="1" t="s">
        <v>46</v>
      </c>
      <c r="AL11" s="1">
        <v>81</v>
      </c>
    </row>
    <row r="12" spans="1:39" x14ac:dyDescent="0.2">
      <c r="A12" s="2" t="str">
        <f>HYPERLINK("https://www.compass.com/listing/62-wooster-street-unit-4-manhattan-ny-10012/805052860387560025/","62 Wooster St, Unit 4")</f>
        <v>62 Wooster St, Unit 4</v>
      </c>
      <c r="B12" s="2" t="str">
        <f>HYPERLINK("https://www.compass.com/building/62-wooster-st-manhattan-ny-10012/307448763031283973/","62 Wooster St")</f>
        <v>62 Wooster St</v>
      </c>
      <c r="C12" s="1" t="s">
        <v>50</v>
      </c>
      <c r="D12" s="1" t="s">
        <v>41</v>
      </c>
      <c r="E12" s="3">
        <v>14950000</v>
      </c>
      <c r="F12" s="1">
        <v>2545.11406196799</v>
      </c>
      <c r="G12" s="1">
        <v>7</v>
      </c>
      <c r="H12" s="1">
        <v>4</v>
      </c>
      <c r="I12" s="1">
        <v>5</v>
      </c>
      <c r="J12" s="1">
        <v>4.5</v>
      </c>
      <c r="K12" s="1">
        <v>4</v>
      </c>
      <c r="L12" s="1">
        <v>1</v>
      </c>
      <c r="M12" s="4">
        <v>5874</v>
      </c>
      <c r="N12" s="1">
        <v>11040</v>
      </c>
      <c r="O12" s="1">
        <v>19107</v>
      </c>
      <c r="P12" s="1">
        <v>8067</v>
      </c>
      <c r="S12" s="1" t="s">
        <v>42</v>
      </c>
      <c r="T12" s="1" t="s">
        <v>43</v>
      </c>
      <c r="U12" s="1">
        <v>64</v>
      </c>
      <c r="V12" s="5">
        <v>44363</v>
      </c>
      <c r="W12" s="5">
        <v>44363</v>
      </c>
      <c r="X12" s="1">
        <v>14950000</v>
      </c>
      <c r="AB12" s="1" t="s">
        <v>44</v>
      </c>
      <c r="AF12" s="1">
        <v>10012</v>
      </c>
      <c r="AJ12" s="1">
        <v>1862</v>
      </c>
      <c r="AK12" s="1" t="s">
        <v>59</v>
      </c>
      <c r="AL12" s="1">
        <v>7</v>
      </c>
    </row>
    <row r="13" spans="1:39" x14ac:dyDescent="0.2">
      <c r="A13" s="2" t="str">
        <f>HYPERLINK("https://www.compass.com/listing/10-lenox-avenue-unit-pha-manhattan-ny-10026/842062853523709457/","10 Lenox Ave, Unit PHA")</f>
        <v>10 Lenox Ave, Unit PHA</v>
      </c>
      <c r="B13" s="2" t="str">
        <f>HYPERLINK("https://www.compass.com/building/10-lenox-manhattan-ny/455664456039547173/","10 Lenox")</f>
        <v>10 Lenox</v>
      </c>
      <c r="C13" s="1" t="s">
        <v>60</v>
      </c>
      <c r="D13" s="1" t="s">
        <v>41</v>
      </c>
      <c r="E13" s="3">
        <v>2795000</v>
      </c>
      <c r="F13" s="1">
        <v>1669.65352449223</v>
      </c>
      <c r="G13" s="1">
        <v>5</v>
      </c>
      <c r="H13" s="1">
        <v>3</v>
      </c>
      <c r="I13" s="1">
        <v>3</v>
      </c>
      <c r="J13" s="1">
        <v>2.5</v>
      </c>
      <c r="K13" s="1">
        <v>2</v>
      </c>
      <c r="L13" s="1">
        <v>1</v>
      </c>
      <c r="M13" s="4">
        <v>1674</v>
      </c>
      <c r="N13" s="1">
        <v>1626</v>
      </c>
      <c r="O13" s="1">
        <v>4027</v>
      </c>
      <c r="P13" s="1">
        <v>2401</v>
      </c>
      <c r="S13" s="1" t="s">
        <v>42</v>
      </c>
      <c r="T13" s="1" t="s">
        <v>43</v>
      </c>
      <c r="U13" s="1">
        <v>13</v>
      </c>
      <c r="V13" s="5">
        <v>44426</v>
      </c>
      <c r="W13" s="5">
        <v>44414</v>
      </c>
      <c r="X13" s="1">
        <v>2795000</v>
      </c>
      <c r="AB13" s="1" t="s">
        <v>44</v>
      </c>
      <c r="AD13" s="1" t="s">
        <v>61</v>
      </c>
      <c r="AE13" s="1" t="s">
        <v>62</v>
      </c>
      <c r="AF13" s="1">
        <v>10026</v>
      </c>
      <c r="AI13" s="1" t="s">
        <v>63</v>
      </c>
      <c r="AJ13" s="1">
        <v>2019</v>
      </c>
      <c r="AK13" s="1" t="s">
        <v>64</v>
      </c>
      <c r="AL13" s="1">
        <v>29</v>
      </c>
    </row>
    <row r="14" spans="1:39" x14ac:dyDescent="0.2">
      <c r="A14" s="2" t="str">
        <f>HYPERLINK("https://www.compass.com/listing/71-laight-street-unit-1a-manhattan-ny-10013/596287702050182585/","71 Laight St, Unit 1A")</f>
        <v>71 Laight St, Unit 1A</v>
      </c>
      <c r="B14" s="2" t="str">
        <f>HYPERLINK("https://www.compass.com/building/the-sterling-mason-manhattan-ny/281919618778432805/","The Sterling Mason")</f>
        <v>The Sterling Mason</v>
      </c>
      <c r="C14" s="1" t="s">
        <v>65</v>
      </c>
      <c r="D14" s="1" t="s">
        <v>41</v>
      </c>
      <c r="E14" s="3">
        <v>6950000</v>
      </c>
      <c r="F14" s="1">
        <v>2246.2831286360602</v>
      </c>
      <c r="G14" s="1">
        <v>8</v>
      </c>
      <c r="H14" s="1">
        <v>3</v>
      </c>
      <c r="I14" s="1">
        <v>4</v>
      </c>
      <c r="J14" s="1">
        <v>4</v>
      </c>
      <c r="K14" s="1">
        <v>4</v>
      </c>
      <c r="M14" s="4">
        <v>3094</v>
      </c>
      <c r="N14" s="1">
        <v>5206</v>
      </c>
      <c r="O14" s="1">
        <v>8351</v>
      </c>
      <c r="P14" s="1">
        <v>3145</v>
      </c>
      <c r="S14" s="1" t="s">
        <v>42</v>
      </c>
      <c r="T14" s="1" t="s">
        <v>43</v>
      </c>
      <c r="U14" s="1">
        <v>351</v>
      </c>
      <c r="V14" s="5">
        <v>44404</v>
      </c>
      <c r="W14" s="5">
        <v>44075</v>
      </c>
      <c r="X14" s="1">
        <v>6950000</v>
      </c>
      <c r="AB14" s="1" t="s">
        <v>44</v>
      </c>
      <c r="AF14" s="1">
        <v>10013</v>
      </c>
      <c r="AI14" s="1" t="s">
        <v>66</v>
      </c>
      <c r="AJ14" s="1">
        <v>2015</v>
      </c>
      <c r="AK14" s="1" t="s">
        <v>49</v>
      </c>
      <c r="AL14" s="1">
        <v>33</v>
      </c>
    </row>
    <row r="15" spans="1:39" x14ac:dyDescent="0.2">
      <c r="A15" s="2" t="str">
        <f>HYPERLINK("https://www.compass.com/listing/432-west-52nd-street-unit-4a-manhattan-ny-10019/775320368371185673/","432 W 52nd St, Unit 4A")</f>
        <v>432 W 52nd St, Unit 4A</v>
      </c>
      <c r="B15" s="2" t="str">
        <f>HYPERLINK("https://www.compass.com/building/432-w-52nd-st-manhattan-ny-10019/292847238378489941/","432 W 52nd St")</f>
        <v>432 W 52nd St</v>
      </c>
      <c r="C15" s="1" t="s">
        <v>67</v>
      </c>
      <c r="D15" s="1" t="s">
        <v>41</v>
      </c>
      <c r="E15" s="3">
        <v>1295000</v>
      </c>
      <c r="F15" s="1">
        <v>1089.1505466778799</v>
      </c>
      <c r="G15" s="1">
        <v>5</v>
      </c>
      <c r="H15" s="1">
        <v>2</v>
      </c>
      <c r="I15" s="1">
        <v>2</v>
      </c>
      <c r="J15" s="1">
        <v>2</v>
      </c>
      <c r="K15" s="1">
        <v>2</v>
      </c>
      <c r="M15" s="4">
        <v>1189</v>
      </c>
      <c r="N15" s="1">
        <v>2124</v>
      </c>
      <c r="O15" s="1">
        <v>3644.3599999999901</v>
      </c>
      <c r="P15" s="1">
        <v>1520.3333333333301</v>
      </c>
      <c r="S15" s="1" t="s">
        <v>42</v>
      </c>
      <c r="T15" s="1" t="s">
        <v>43</v>
      </c>
      <c r="U15" s="1">
        <v>105</v>
      </c>
      <c r="V15" s="5">
        <v>44427</v>
      </c>
      <c r="W15" s="5">
        <v>44322</v>
      </c>
      <c r="X15" s="1">
        <v>1395000</v>
      </c>
      <c r="AB15" s="1" t="s">
        <v>44</v>
      </c>
      <c r="AD15" s="1" t="s">
        <v>68</v>
      </c>
      <c r="AE15" s="1" t="s">
        <v>48</v>
      </c>
      <c r="AF15" s="1">
        <v>10019</v>
      </c>
      <c r="AI15" s="1" t="s">
        <v>55</v>
      </c>
      <c r="AJ15" s="1">
        <v>1950</v>
      </c>
      <c r="AK15" s="1" t="s">
        <v>69</v>
      </c>
      <c r="AL15" s="1">
        <v>55</v>
      </c>
    </row>
    <row r="16" spans="1:39" x14ac:dyDescent="0.2">
      <c r="A16" s="2" t="str">
        <f>HYPERLINK("https://www.compass.com/listing/438-east-12th-street-unit-2r-manhattan-ny-10009/847195842094839001/","438 E 12th St, Unit 2R")</f>
        <v>438 E 12th St, Unit 2R</v>
      </c>
      <c r="B16" s="2" t="str">
        <f>HYPERLINK("https://www.compass.com/building/steiner-east-village-manhattan-ny/281900317572873557/","Steiner East Village")</f>
        <v>Steiner East Village</v>
      </c>
      <c r="C16" s="1" t="s">
        <v>52</v>
      </c>
      <c r="D16" s="1" t="s">
        <v>41</v>
      </c>
      <c r="E16" s="3">
        <v>1925000</v>
      </c>
      <c r="F16" s="1">
        <v>1974.35897435897</v>
      </c>
      <c r="G16" s="1">
        <v>4</v>
      </c>
      <c r="H16" s="1">
        <v>2</v>
      </c>
      <c r="I16" s="1">
        <v>2</v>
      </c>
      <c r="J16" s="1">
        <v>1.5</v>
      </c>
      <c r="K16" s="1">
        <v>1</v>
      </c>
      <c r="L16" s="1">
        <v>1</v>
      </c>
      <c r="M16" s="1">
        <v>975</v>
      </c>
      <c r="N16" s="1">
        <v>1151</v>
      </c>
      <c r="O16" s="1">
        <v>3016</v>
      </c>
      <c r="P16" s="1">
        <v>1865</v>
      </c>
      <c r="Q16" s="1" t="s">
        <v>42</v>
      </c>
      <c r="S16" s="1" t="s">
        <v>42</v>
      </c>
      <c r="T16" s="1" t="s">
        <v>43</v>
      </c>
      <c r="U16" s="1">
        <v>7</v>
      </c>
      <c r="V16" s="5">
        <v>44426</v>
      </c>
      <c r="W16" s="5">
        <v>44420</v>
      </c>
      <c r="X16" s="1">
        <v>1925000</v>
      </c>
      <c r="AB16" s="1" t="s">
        <v>44</v>
      </c>
      <c r="AD16" s="1" t="s">
        <v>70</v>
      </c>
      <c r="AE16" s="1" t="s">
        <v>48</v>
      </c>
      <c r="AF16" s="1">
        <v>10009</v>
      </c>
      <c r="AI16" s="1" t="s">
        <v>71</v>
      </c>
      <c r="AJ16" s="1">
        <v>2017</v>
      </c>
      <c r="AK16" s="1" t="s">
        <v>49</v>
      </c>
      <c r="AL16" s="1">
        <v>82</v>
      </c>
    </row>
    <row r="17" spans="1:38" x14ac:dyDescent="0.2">
      <c r="A17" s="2" t="str">
        <f>HYPERLINK("https://www.compass.com/listing/110-charlton-street-unit-14d-manhattan-ny-10014/851388237176961137/","110 Charlton St, Unit 14D")</f>
        <v>110 Charlton St, Unit 14D</v>
      </c>
      <c r="B17" s="2" t="str">
        <f>HYPERLINK("https://www.compass.com/building/greenwich-west-manhattan-ny/282058690331179733/","Greenwich West")</f>
        <v>Greenwich West</v>
      </c>
      <c r="C17" s="1" t="s">
        <v>72</v>
      </c>
      <c r="D17" s="1" t="s">
        <v>41</v>
      </c>
      <c r="E17" s="3">
        <v>3050000</v>
      </c>
      <c r="F17" s="1">
        <v>2080.4911323328702</v>
      </c>
      <c r="G17" s="1">
        <v>4</v>
      </c>
      <c r="H17" s="1">
        <v>2</v>
      </c>
      <c r="I17" s="1">
        <v>2</v>
      </c>
      <c r="J17" s="1">
        <v>2</v>
      </c>
      <c r="K17" s="1">
        <v>2</v>
      </c>
      <c r="M17" s="4">
        <v>1466</v>
      </c>
      <c r="N17" s="1">
        <v>1318</v>
      </c>
      <c r="O17" s="1">
        <v>4499</v>
      </c>
      <c r="P17" s="1">
        <v>3181</v>
      </c>
      <c r="Q17" s="1" t="s">
        <v>42</v>
      </c>
      <c r="S17" s="1" t="s">
        <v>42</v>
      </c>
      <c r="T17" s="1" t="s">
        <v>43</v>
      </c>
      <c r="U17" s="1">
        <v>1</v>
      </c>
      <c r="V17" s="5">
        <v>44427</v>
      </c>
      <c r="W17" s="5">
        <v>44426</v>
      </c>
      <c r="X17" s="1">
        <v>3050000</v>
      </c>
      <c r="AB17" s="1" t="s">
        <v>44</v>
      </c>
      <c r="AF17" s="1">
        <v>10014</v>
      </c>
      <c r="AI17" s="1" t="s">
        <v>51</v>
      </c>
      <c r="AJ17" s="1">
        <v>2020</v>
      </c>
      <c r="AK17" s="1" t="s">
        <v>46</v>
      </c>
      <c r="AL17" s="1">
        <v>170</v>
      </c>
    </row>
    <row r="18" spans="1:38" x14ac:dyDescent="0.2">
      <c r="A18" s="2" t="str">
        <f>HYPERLINK("https://www.compass.com/listing/500-west-25th-street-unit-2-manhattan-ny-10001/846557986083464897/","500 W 25th St, Unit 2")</f>
        <v>500 W 25th St, Unit 2</v>
      </c>
      <c r="B18" s="2" t="str">
        <f>HYPERLINK("https://www.compass.com/building/the-emerson-manhattan-ny/282059788475465749/","The Emerson")</f>
        <v>The Emerson</v>
      </c>
      <c r="C18" s="1" t="s">
        <v>73</v>
      </c>
      <c r="D18" s="1" t="s">
        <v>41</v>
      </c>
      <c r="E18" s="3">
        <v>4000000</v>
      </c>
      <c r="F18" s="1">
        <v>1684.21052631578</v>
      </c>
      <c r="G18" s="1">
        <v>6</v>
      </c>
      <c r="H18" s="1">
        <v>3</v>
      </c>
      <c r="I18" s="1">
        <v>3</v>
      </c>
      <c r="J18" s="1">
        <v>3</v>
      </c>
      <c r="K18" s="1">
        <v>3</v>
      </c>
      <c r="M18" s="4">
        <v>2375</v>
      </c>
      <c r="N18" s="1">
        <v>2146</v>
      </c>
      <c r="O18" s="1">
        <v>7504</v>
      </c>
      <c r="P18" s="1">
        <v>5358</v>
      </c>
      <c r="Q18" s="1" t="s">
        <v>42</v>
      </c>
      <c r="S18" s="1" t="s">
        <v>42</v>
      </c>
      <c r="T18" s="1" t="s">
        <v>43</v>
      </c>
      <c r="U18" s="1">
        <v>8</v>
      </c>
      <c r="V18" s="5">
        <v>44426</v>
      </c>
      <c r="W18" s="5">
        <v>44419</v>
      </c>
      <c r="X18" s="1">
        <v>4000000</v>
      </c>
      <c r="AB18" s="1" t="s">
        <v>44</v>
      </c>
      <c r="AD18" s="1" t="s">
        <v>74</v>
      </c>
      <c r="AE18" s="1" t="s">
        <v>48</v>
      </c>
      <c r="AF18" s="1">
        <v>10001</v>
      </c>
      <c r="AI18" s="1" t="s">
        <v>75</v>
      </c>
      <c r="AJ18" s="1">
        <v>2020</v>
      </c>
      <c r="AK18" s="1" t="s">
        <v>76</v>
      </c>
      <c r="AL18" s="1">
        <v>8</v>
      </c>
    </row>
    <row r="19" spans="1:38" x14ac:dyDescent="0.2">
      <c r="A19" s="2" t="str">
        <f>HYPERLINK("https://www.compass.com/listing/101-leonard-street-unit-loft-a-manhattan-ny-10013/844926142354480985/","101 Leonard St, Unit LOFT A")</f>
        <v>101 Leonard St, Unit LOFT A</v>
      </c>
      <c r="B19" s="2" t="str">
        <f>HYPERLINK("https://www.compass.com/building/the-leonard-manhattan-ny/281919139939910965/","The Leonard")</f>
        <v>The Leonard</v>
      </c>
      <c r="C19" s="1" t="s">
        <v>77</v>
      </c>
      <c r="D19" s="1" t="s">
        <v>41</v>
      </c>
      <c r="E19" s="3">
        <v>1200000</v>
      </c>
      <c r="F19" s="1">
        <v>1349.83127109111</v>
      </c>
      <c r="G19" s="1">
        <v>3</v>
      </c>
      <c r="H19" s="1">
        <v>1</v>
      </c>
      <c r="I19" s="1">
        <v>1</v>
      </c>
      <c r="J19" s="1">
        <v>1</v>
      </c>
      <c r="K19" s="1">
        <v>1</v>
      </c>
      <c r="M19" s="1">
        <v>889</v>
      </c>
      <c r="N19" s="1">
        <v>1189</v>
      </c>
      <c r="O19" s="1">
        <v>2729</v>
      </c>
      <c r="P19" s="1">
        <v>1540</v>
      </c>
      <c r="Q19" s="1" t="s">
        <v>42</v>
      </c>
      <c r="S19" s="1" t="s">
        <v>42</v>
      </c>
      <c r="T19" s="1" t="s">
        <v>43</v>
      </c>
      <c r="U19" s="1">
        <v>10</v>
      </c>
      <c r="V19" s="5">
        <v>44426</v>
      </c>
      <c r="W19" s="5">
        <v>44417</v>
      </c>
      <c r="X19" s="1">
        <v>1200000</v>
      </c>
      <c r="AB19" s="1" t="s">
        <v>44</v>
      </c>
      <c r="AF19" s="1">
        <v>10013</v>
      </c>
      <c r="AI19" s="1" t="s">
        <v>55</v>
      </c>
      <c r="AJ19" s="1">
        <v>2014</v>
      </c>
      <c r="AK19" s="1" t="s">
        <v>46</v>
      </c>
      <c r="AL19" s="1">
        <v>66</v>
      </c>
    </row>
    <row r="20" spans="1:38" x14ac:dyDescent="0.2">
      <c r="A20" s="2" t="str">
        <f>HYPERLINK("https://www.compass.com/listing/350-west-71st-street-unit-2e-manhattan-ny-10023/845027732231280465/","350 W 71st St, Unit 2E")</f>
        <v>350 W 71st St, Unit 2E</v>
      </c>
      <c r="B20" s="2" t="str">
        <f>HYPERLINK("https://www.compass.com/building/350-west-71st-street-manhattan-ny/282058856064910533/","350 West 71st Street")</f>
        <v>350 West 71st Street</v>
      </c>
      <c r="C20" s="1" t="s">
        <v>78</v>
      </c>
      <c r="D20" s="1" t="s">
        <v>41</v>
      </c>
      <c r="E20" s="3">
        <v>3295000</v>
      </c>
      <c r="F20" s="1">
        <v>1977.79111644657</v>
      </c>
      <c r="G20" s="1">
        <v>6</v>
      </c>
      <c r="H20" s="1">
        <v>3</v>
      </c>
      <c r="I20" s="1">
        <v>3</v>
      </c>
      <c r="J20" s="1">
        <v>2.5</v>
      </c>
      <c r="K20" s="1">
        <v>2</v>
      </c>
      <c r="L20" s="1">
        <v>1</v>
      </c>
      <c r="M20" s="4">
        <v>1666</v>
      </c>
      <c r="N20" s="1">
        <v>1707</v>
      </c>
      <c r="O20" s="1">
        <v>3258</v>
      </c>
      <c r="P20" s="1">
        <v>1551</v>
      </c>
      <c r="Q20" s="1" t="s">
        <v>42</v>
      </c>
      <c r="S20" s="1" t="s">
        <v>42</v>
      </c>
      <c r="T20" s="1" t="s">
        <v>43</v>
      </c>
      <c r="U20" s="1">
        <v>8</v>
      </c>
      <c r="V20" s="5">
        <v>44425</v>
      </c>
      <c r="W20" s="5">
        <v>44419</v>
      </c>
      <c r="X20" s="1">
        <v>3295000</v>
      </c>
      <c r="AB20" s="1" t="s">
        <v>44</v>
      </c>
      <c r="AF20" s="1">
        <v>10023</v>
      </c>
      <c r="AI20" s="1" t="s">
        <v>79</v>
      </c>
      <c r="AJ20" s="1">
        <v>2019</v>
      </c>
      <c r="AK20" s="1" t="s">
        <v>46</v>
      </c>
      <c r="AL20" s="1">
        <v>38</v>
      </c>
    </row>
    <row r="21" spans="1:38" x14ac:dyDescent="0.2">
      <c r="A21" s="2" t="str">
        <f>HYPERLINK("https://www.compass.com/listing/110-charlton-street-unit-26b-manhattan-ny-10014/841396227975279025/","110 Charlton St, Unit 26B")</f>
        <v>110 Charlton St, Unit 26B</v>
      </c>
      <c r="B21" s="2" t="str">
        <f>HYPERLINK("https://www.compass.com/building/greenwich-west-manhattan-ny/282058690331179733/","Greenwich West")</f>
        <v>Greenwich West</v>
      </c>
      <c r="C21" s="1" t="s">
        <v>72</v>
      </c>
      <c r="D21" s="1" t="s">
        <v>41</v>
      </c>
      <c r="E21" s="3">
        <v>3755000</v>
      </c>
      <c r="F21" s="1">
        <v>2629.5518207282898</v>
      </c>
      <c r="G21" s="1">
        <v>4.5</v>
      </c>
      <c r="H21" s="1">
        <v>2</v>
      </c>
      <c r="I21" s="1">
        <v>3</v>
      </c>
      <c r="J21" s="1">
        <v>2.5</v>
      </c>
      <c r="K21" s="1">
        <v>2</v>
      </c>
      <c r="L21" s="1">
        <v>1</v>
      </c>
      <c r="M21" s="4">
        <v>1428</v>
      </c>
      <c r="N21" s="1">
        <v>1284</v>
      </c>
      <c r="O21" s="1">
        <v>4382</v>
      </c>
      <c r="P21" s="1">
        <v>3098</v>
      </c>
      <c r="Q21" s="1" t="s">
        <v>42</v>
      </c>
      <c r="S21" s="1" t="s">
        <v>42</v>
      </c>
      <c r="T21" s="1" t="s">
        <v>43</v>
      </c>
      <c r="U21" s="1">
        <v>15</v>
      </c>
      <c r="V21" s="5">
        <v>44414</v>
      </c>
      <c r="W21" s="5">
        <v>44412</v>
      </c>
      <c r="X21" s="1">
        <v>3755000</v>
      </c>
      <c r="AB21" s="1" t="s">
        <v>44</v>
      </c>
      <c r="AF21" s="1">
        <v>10014</v>
      </c>
      <c r="AI21" s="1" t="s">
        <v>51</v>
      </c>
      <c r="AJ21" s="1">
        <v>2020</v>
      </c>
      <c r="AK21" s="1" t="s">
        <v>46</v>
      </c>
      <c r="AL21" s="1">
        <v>170</v>
      </c>
    </row>
    <row r="22" spans="1:38" x14ac:dyDescent="0.2">
      <c r="A22" s="2" t="str">
        <f>HYPERLINK("https://www.compass.com/listing/160-west-12th-street-unit-62-manhattan-ny-10011/821064806599372745/","160 W 12th St, Unit 62")</f>
        <v>160 W 12th St, Unit 62</v>
      </c>
      <c r="B22" s="2" t="str">
        <f>HYPERLINK("https://www.compass.com/building/the-greenwich-lane-manhattan-ny/282059161326355877/","The Greenwich Lane")</f>
        <v>The Greenwich Lane</v>
      </c>
      <c r="C22" s="1" t="s">
        <v>40</v>
      </c>
      <c r="D22" s="1" t="s">
        <v>41</v>
      </c>
      <c r="E22" s="3">
        <v>3100000</v>
      </c>
      <c r="F22" s="1">
        <v>3283.8983050847401</v>
      </c>
      <c r="G22" s="1">
        <v>3</v>
      </c>
      <c r="H22" s="1">
        <v>1</v>
      </c>
      <c r="I22" s="1">
        <v>1</v>
      </c>
      <c r="J22" s="1">
        <v>1</v>
      </c>
      <c r="K22" s="1">
        <v>1</v>
      </c>
      <c r="M22" s="1">
        <v>944</v>
      </c>
      <c r="N22" s="1">
        <v>1650</v>
      </c>
      <c r="O22" s="1">
        <v>3691</v>
      </c>
      <c r="P22" s="1">
        <v>2041</v>
      </c>
      <c r="Q22" s="1" t="s">
        <v>42</v>
      </c>
      <c r="S22" s="1" t="s">
        <v>42</v>
      </c>
      <c r="T22" s="1" t="s">
        <v>43</v>
      </c>
      <c r="U22" s="1">
        <v>42</v>
      </c>
      <c r="V22" s="5">
        <v>44386</v>
      </c>
      <c r="W22" s="5">
        <v>44385</v>
      </c>
      <c r="X22" s="1">
        <v>3100000</v>
      </c>
      <c r="AB22" s="1" t="s">
        <v>44</v>
      </c>
      <c r="AF22" s="1">
        <v>10011</v>
      </c>
      <c r="AI22" s="1" t="s">
        <v>80</v>
      </c>
      <c r="AJ22" s="1">
        <v>2016</v>
      </c>
      <c r="AK22" s="1" t="s">
        <v>46</v>
      </c>
      <c r="AL22" s="1">
        <v>57</v>
      </c>
    </row>
    <row r="23" spans="1:38" x14ac:dyDescent="0.2">
      <c r="A23" s="2" t="str">
        <f>HYPERLINK("https://www.compass.com/listing/21-west-20th-street-unit-5-manhattan-ny-10011/812386530200489513/","21 W 20th St, Unit 5")</f>
        <v>21 W 20th St, Unit 5</v>
      </c>
      <c r="B23" s="2" t="str">
        <f>HYPERLINK("https://www.compass.com/building/21w20-manhattan-ny/281906757389799461/","21W20")</f>
        <v>21W20</v>
      </c>
      <c r="C23" s="1" t="s">
        <v>56</v>
      </c>
      <c r="D23" s="1" t="s">
        <v>41</v>
      </c>
      <c r="E23" s="3">
        <v>2395000</v>
      </c>
      <c r="F23" s="1">
        <v>1839.4777265744999</v>
      </c>
      <c r="G23" s="1">
        <v>3.5</v>
      </c>
      <c r="H23" s="1">
        <v>2</v>
      </c>
      <c r="I23" s="1">
        <v>2</v>
      </c>
      <c r="J23" s="1">
        <v>2</v>
      </c>
      <c r="K23" s="1">
        <v>2</v>
      </c>
      <c r="M23" s="4">
        <v>1302</v>
      </c>
      <c r="N23" s="1">
        <v>1808</v>
      </c>
      <c r="O23" s="1">
        <v>3448</v>
      </c>
      <c r="P23" s="1">
        <v>1640</v>
      </c>
      <c r="Q23" s="1" t="s">
        <v>42</v>
      </c>
      <c r="S23" s="1" t="s">
        <v>42</v>
      </c>
      <c r="T23" s="1" t="s">
        <v>43</v>
      </c>
      <c r="U23" s="1">
        <v>55</v>
      </c>
      <c r="V23" s="5">
        <v>44380</v>
      </c>
      <c r="W23" s="5">
        <v>44372</v>
      </c>
      <c r="X23" s="1">
        <v>2395000</v>
      </c>
      <c r="AB23" s="1" t="s">
        <v>44</v>
      </c>
      <c r="AF23" s="1">
        <v>10011</v>
      </c>
      <c r="AI23" s="1" t="s">
        <v>81</v>
      </c>
      <c r="AJ23" s="1">
        <v>2016</v>
      </c>
      <c r="AK23" s="1" t="s">
        <v>46</v>
      </c>
      <c r="AL23" s="1">
        <v>13</v>
      </c>
    </row>
    <row r="24" spans="1:38" x14ac:dyDescent="0.2">
      <c r="A24" s="2" t="str">
        <f>HYPERLINK("https://www.compass.com/listing/110-charlton-street-unit-5d-manhattan-ny-10014/836377244404031857/","110 Charlton St, Unit 5D")</f>
        <v>110 Charlton St, Unit 5D</v>
      </c>
      <c r="B24" s="2" t="str">
        <f>HYPERLINK("https://www.compass.com/building/greenwich-west-manhattan-ny/282058690331179733/","Greenwich West")</f>
        <v>Greenwich West</v>
      </c>
      <c r="C24" s="1" t="s">
        <v>72</v>
      </c>
      <c r="D24" s="1" t="s">
        <v>41</v>
      </c>
      <c r="E24" s="3">
        <v>3995000</v>
      </c>
      <c r="F24" s="1">
        <v>1825.8683729433201</v>
      </c>
      <c r="G24" s="1">
        <v>5</v>
      </c>
      <c r="H24" s="1">
        <v>3</v>
      </c>
      <c r="I24" s="1">
        <v>4</v>
      </c>
      <c r="J24" s="1">
        <v>3.5</v>
      </c>
      <c r="K24" s="1">
        <v>3</v>
      </c>
      <c r="L24" s="1">
        <v>1</v>
      </c>
      <c r="M24" s="4">
        <v>2188</v>
      </c>
      <c r="N24" s="1">
        <v>1968</v>
      </c>
      <c r="O24" s="1">
        <v>6716</v>
      </c>
      <c r="P24" s="1">
        <v>4748</v>
      </c>
      <c r="Q24" s="1" t="s">
        <v>42</v>
      </c>
      <c r="S24" s="1" t="s">
        <v>42</v>
      </c>
      <c r="T24" s="1" t="s">
        <v>43</v>
      </c>
      <c r="U24" s="1">
        <v>22</v>
      </c>
      <c r="V24" s="5">
        <v>44414</v>
      </c>
      <c r="W24" s="5">
        <v>44405</v>
      </c>
      <c r="X24" s="1">
        <v>3995000</v>
      </c>
      <c r="AB24" s="1" t="s">
        <v>44</v>
      </c>
      <c r="AF24" s="1">
        <v>10014</v>
      </c>
      <c r="AI24" s="1" t="s">
        <v>51</v>
      </c>
      <c r="AJ24" s="1">
        <v>2020</v>
      </c>
      <c r="AK24" s="1" t="s">
        <v>46</v>
      </c>
      <c r="AL24" s="1">
        <v>170</v>
      </c>
    </row>
    <row r="25" spans="1:38" x14ac:dyDescent="0.2">
      <c r="A25" s="2" t="str">
        <f>HYPERLINK("https://www.compass.com/listing/750-riverside-drive-unit-6g-manhattan-ny-10031/842930356488409449/","750 Riverside Dr, Unit 6G")</f>
        <v>750 Riverside Dr, Unit 6G</v>
      </c>
      <c r="B25" s="2" t="str">
        <f>HYPERLINK("https://www.compass.com/building/750-riverside-dr-manhattan-ny-10031/282003523909053237/","750 Riverside Dr")</f>
        <v>750 Riverside Dr</v>
      </c>
      <c r="C25" s="1" t="s">
        <v>82</v>
      </c>
      <c r="D25" s="1" t="s">
        <v>41</v>
      </c>
      <c r="E25" s="3">
        <v>528885</v>
      </c>
      <c r="F25" s="1">
        <v>842.17356687897995</v>
      </c>
      <c r="G25" s="1">
        <v>3</v>
      </c>
      <c r="H25" s="1">
        <v>1</v>
      </c>
      <c r="I25" s="1">
        <v>1</v>
      </c>
      <c r="J25" s="1">
        <v>1</v>
      </c>
      <c r="K25" s="1">
        <v>1</v>
      </c>
      <c r="M25" s="1">
        <v>628</v>
      </c>
      <c r="N25" s="1">
        <v>634</v>
      </c>
      <c r="O25" s="1">
        <v>997</v>
      </c>
      <c r="P25" s="1">
        <v>363</v>
      </c>
      <c r="Q25" s="1" t="s">
        <v>42</v>
      </c>
      <c r="S25" s="1" t="s">
        <v>42</v>
      </c>
      <c r="T25" s="1" t="s">
        <v>43</v>
      </c>
      <c r="U25" s="1">
        <v>12</v>
      </c>
      <c r="V25" s="5">
        <v>44427</v>
      </c>
      <c r="W25" s="5">
        <v>44415</v>
      </c>
      <c r="X25" s="1">
        <v>528885</v>
      </c>
      <c r="AB25" s="1" t="s">
        <v>44</v>
      </c>
      <c r="AD25" s="1" t="s">
        <v>83</v>
      </c>
      <c r="AE25" s="1" t="s">
        <v>48</v>
      </c>
      <c r="AF25" s="1">
        <v>10031</v>
      </c>
      <c r="AJ25" s="1">
        <v>1920</v>
      </c>
      <c r="AL25" s="1">
        <v>42</v>
      </c>
    </row>
    <row r="26" spans="1:38" x14ac:dyDescent="0.2">
      <c r="A26" s="2" t="str">
        <f>HYPERLINK("https://www.compass.com/listing/71-reade-street-unit-4a-manhattan-ny-10007/799468214163805217/","71 Reade St, Unit 4A")</f>
        <v>71 Reade St, Unit 4A</v>
      </c>
      <c r="B26" s="2" t="str">
        <f>HYPERLINK("https://www.compass.com/building/reade-chambers-manhattan-ny/281897219919982101/","Reade Chambers")</f>
        <v>Reade Chambers</v>
      </c>
      <c r="C26" s="1" t="s">
        <v>65</v>
      </c>
      <c r="D26" s="1" t="s">
        <v>41</v>
      </c>
      <c r="E26" s="3">
        <v>6100000</v>
      </c>
      <c r="F26" s="1">
        <v>2009.8846787479399</v>
      </c>
      <c r="G26" s="1">
        <v>6.5</v>
      </c>
      <c r="H26" s="1">
        <v>4</v>
      </c>
      <c r="I26" s="1">
        <v>5</v>
      </c>
      <c r="J26" s="1">
        <v>4.5</v>
      </c>
      <c r="K26" s="1">
        <v>4</v>
      </c>
      <c r="L26" s="1">
        <v>1</v>
      </c>
      <c r="M26" s="4">
        <v>3035</v>
      </c>
      <c r="N26" s="1">
        <v>4705</v>
      </c>
      <c r="O26" s="1">
        <v>7557</v>
      </c>
      <c r="P26" s="1">
        <v>2852</v>
      </c>
      <c r="Q26" s="1" t="s">
        <v>42</v>
      </c>
      <c r="S26" s="1" t="s">
        <v>42</v>
      </c>
      <c r="T26" s="1" t="s">
        <v>43</v>
      </c>
      <c r="U26" s="1">
        <v>73</v>
      </c>
      <c r="V26" s="5">
        <v>44426</v>
      </c>
      <c r="W26" s="5">
        <v>44354</v>
      </c>
      <c r="X26" s="1">
        <v>6100000</v>
      </c>
      <c r="AB26" s="1" t="s">
        <v>44</v>
      </c>
      <c r="AD26" s="1" t="s">
        <v>84</v>
      </c>
      <c r="AE26" s="1" t="s">
        <v>48</v>
      </c>
      <c r="AF26" s="1">
        <v>10007</v>
      </c>
      <c r="AI26" s="1" t="s">
        <v>85</v>
      </c>
      <c r="AJ26" s="1">
        <v>2015</v>
      </c>
      <c r="AK26" s="1" t="s">
        <v>86</v>
      </c>
      <c r="AL26" s="1">
        <v>18</v>
      </c>
    </row>
    <row r="27" spans="1:38" x14ac:dyDescent="0.2">
      <c r="A27" s="2" t="str">
        <f>HYPERLINK("https://www.compass.com/listing/160-east-22nd-street-unit-11d-manhattan-ny-10010/804255017808873201/","160 E 22nd St, Unit 11D")</f>
        <v>160 E 22nd St, Unit 11D</v>
      </c>
      <c r="B27" s="2" t="str">
        <f>HYPERLINK("https://www.compass.com/building/160-e-22nd-st-manhattan-ny-10010/292796862321154661/","160 E 22nd St")</f>
        <v>160 E 22nd St</v>
      </c>
      <c r="C27" s="1" t="s">
        <v>54</v>
      </c>
      <c r="D27" s="1" t="s">
        <v>41</v>
      </c>
      <c r="E27" s="3">
        <v>1595000</v>
      </c>
      <c r="F27" s="1">
        <v>1914.7659063625399</v>
      </c>
      <c r="G27" s="1">
        <v>2</v>
      </c>
      <c r="H27" s="1">
        <v>1</v>
      </c>
      <c r="I27" s="1">
        <v>1</v>
      </c>
      <c r="J27" s="1">
        <v>1</v>
      </c>
      <c r="K27" s="1">
        <v>1</v>
      </c>
      <c r="M27" s="1">
        <v>833</v>
      </c>
      <c r="N27" s="1">
        <v>1017</v>
      </c>
      <c r="O27" s="1">
        <v>2625</v>
      </c>
      <c r="P27" s="1">
        <v>1608</v>
      </c>
      <c r="Q27" s="1" t="s">
        <v>42</v>
      </c>
      <c r="S27" s="1" t="s">
        <v>42</v>
      </c>
      <c r="T27" s="1" t="s">
        <v>43</v>
      </c>
      <c r="U27" s="1">
        <v>66</v>
      </c>
      <c r="V27" s="5">
        <v>44427</v>
      </c>
      <c r="W27" s="5">
        <v>44361</v>
      </c>
      <c r="X27" s="1">
        <v>1595000</v>
      </c>
      <c r="AB27" s="1" t="s">
        <v>44</v>
      </c>
      <c r="AF27" s="1">
        <v>10010</v>
      </c>
      <c r="AI27" s="1" t="s">
        <v>87</v>
      </c>
      <c r="AJ27" s="1">
        <v>2012</v>
      </c>
      <c r="AK27" s="1" t="s">
        <v>49</v>
      </c>
      <c r="AL27" s="1">
        <v>81</v>
      </c>
    </row>
    <row r="28" spans="1:38" x14ac:dyDescent="0.2">
      <c r="A28" s="2" t="str">
        <f>HYPERLINK("https://www.compass.com/listing/438-east-12th-street-unit-gardenb-manhattan-ny-10009/744049394168790561/","438 E 12th St, Unit GARDENB")</f>
        <v>438 E 12th St, Unit GARDENB</v>
      </c>
      <c r="B28" s="2" t="str">
        <f t="shared" ref="B28:B29" si="2">HYPERLINK("https://www.compass.com/building/steiner-east-village-manhattan-ny/281900317572873557/","Steiner East Village")</f>
        <v>Steiner East Village</v>
      </c>
      <c r="C28" s="1" t="s">
        <v>52</v>
      </c>
      <c r="D28" s="1" t="s">
        <v>41</v>
      </c>
      <c r="E28" s="3">
        <v>2700000</v>
      </c>
      <c r="F28" s="1">
        <v>2259.4142259414202</v>
      </c>
      <c r="G28" s="1">
        <v>6</v>
      </c>
      <c r="H28" s="1">
        <v>2</v>
      </c>
      <c r="I28" s="1">
        <v>2</v>
      </c>
      <c r="J28" s="1">
        <v>2</v>
      </c>
      <c r="K28" s="1">
        <v>2</v>
      </c>
      <c r="M28" s="4">
        <v>1195</v>
      </c>
      <c r="N28" s="1">
        <v>1444</v>
      </c>
      <c r="O28" s="1">
        <v>4134</v>
      </c>
      <c r="P28" s="1">
        <v>2690</v>
      </c>
      <c r="Q28" s="1" t="s">
        <v>42</v>
      </c>
      <c r="S28" s="1" t="s">
        <v>42</v>
      </c>
      <c r="T28" s="1" t="s">
        <v>43</v>
      </c>
      <c r="U28" s="1">
        <v>149</v>
      </c>
      <c r="V28" s="5">
        <v>44427</v>
      </c>
      <c r="W28" s="5">
        <v>44278</v>
      </c>
      <c r="X28" s="1">
        <v>2700000</v>
      </c>
      <c r="AB28" s="1" t="s">
        <v>44</v>
      </c>
      <c r="AF28" s="1">
        <v>10009</v>
      </c>
      <c r="AI28" s="1" t="s">
        <v>88</v>
      </c>
      <c r="AJ28" s="1">
        <v>2017</v>
      </c>
      <c r="AK28" s="1" t="s">
        <v>49</v>
      </c>
      <c r="AL28" s="1">
        <v>82</v>
      </c>
    </row>
    <row r="29" spans="1:38" x14ac:dyDescent="0.2">
      <c r="A29" s="2" t="str">
        <f>HYPERLINK("https://www.compass.com/listing/438-east-12th-street-unit-4p-manhattan-ny-10009/440495526144823777/","438 E 12th St, Unit 4P")</f>
        <v>438 E 12th St, Unit 4P</v>
      </c>
      <c r="B29" s="2" t="str">
        <f t="shared" si="2"/>
        <v>Steiner East Village</v>
      </c>
      <c r="C29" s="1" t="s">
        <v>52</v>
      </c>
      <c r="D29" s="1" t="s">
        <v>41</v>
      </c>
      <c r="E29" s="3">
        <v>1518000</v>
      </c>
      <c r="G29" s="1">
        <v>3</v>
      </c>
      <c r="H29" s="1">
        <v>1</v>
      </c>
      <c r="I29" s="1">
        <v>1</v>
      </c>
      <c r="J29" s="1">
        <v>1</v>
      </c>
      <c r="K29" s="1">
        <v>1</v>
      </c>
      <c r="N29" s="1">
        <v>691</v>
      </c>
      <c r="O29" s="1">
        <v>2059</v>
      </c>
      <c r="P29" s="1">
        <v>1368</v>
      </c>
      <c r="Q29" s="1" t="s">
        <v>42</v>
      </c>
      <c r="S29" s="1" t="s">
        <v>42</v>
      </c>
      <c r="T29" s="1" t="s">
        <v>43</v>
      </c>
      <c r="U29" s="1">
        <v>474</v>
      </c>
      <c r="V29" s="5">
        <v>44425</v>
      </c>
      <c r="W29" s="5">
        <v>43859</v>
      </c>
      <c r="X29" s="1">
        <v>1575000</v>
      </c>
      <c r="AB29" s="1" t="s">
        <v>44</v>
      </c>
      <c r="AF29" s="1">
        <v>10009</v>
      </c>
      <c r="AI29" s="1" t="s">
        <v>53</v>
      </c>
      <c r="AJ29" s="1">
        <v>2017</v>
      </c>
      <c r="AK29" s="1" t="s">
        <v>46</v>
      </c>
      <c r="AL29" s="1">
        <v>82</v>
      </c>
    </row>
    <row r="30" spans="1:38" x14ac:dyDescent="0.2">
      <c r="A30" s="2" t="str">
        <f>HYPERLINK("https://www.compass.com/listing/2-park-place-unit-33b-manhattan-ny-10007/462199037253340625/","2 Park Pl, Unit 33B")</f>
        <v>2 Park Pl, Unit 33B</v>
      </c>
      <c r="B30" s="2" t="str">
        <f>HYPERLINK("https://www.compass.com/building/the-woolworth-tower-residences-manhattan-ny/294842395015266853/","The Woolworth Tower Residences")</f>
        <v>The Woolworth Tower Residences</v>
      </c>
      <c r="C30" s="1" t="s">
        <v>65</v>
      </c>
      <c r="D30" s="1" t="s">
        <v>41</v>
      </c>
      <c r="E30" s="3">
        <v>5450000</v>
      </c>
      <c r="F30" s="1">
        <v>2109.1331269349798</v>
      </c>
      <c r="G30" s="1">
        <v>4</v>
      </c>
      <c r="H30" s="1">
        <v>2</v>
      </c>
      <c r="I30" s="1">
        <v>3</v>
      </c>
      <c r="J30" s="1">
        <v>2.5</v>
      </c>
      <c r="K30" s="1">
        <v>2</v>
      </c>
      <c r="L30" s="1">
        <v>1</v>
      </c>
      <c r="M30" s="4">
        <v>2584</v>
      </c>
      <c r="N30" s="1">
        <v>4393</v>
      </c>
      <c r="O30" s="1">
        <v>7983</v>
      </c>
      <c r="P30" s="1">
        <v>3590</v>
      </c>
      <c r="Q30" s="1" t="s">
        <v>42</v>
      </c>
      <c r="S30" s="1" t="s">
        <v>42</v>
      </c>
      <c r="T30" s="1" t="s">
        <v>43</v>
      </c>
      <c r="U30" s="1">
        <v>443</v>
      </c>
      <c r="V30" s="5">
        <v>44425</v>
      </c>
      <c r="W30" s="5">
        <v>43890</v>
      </c>
      <c r="X30" s="1">
        <v>5650000</v>
      </c>
      <c r="AB30" s="1" t="s">
        <v>44</v>
      </c>
      <c r="AF30" s="1">
        <v>10007</v>
      </c>
      <c r="AJ30" s="1">
        <v>1913</v>
      </c>
      <c r="AK30" s="1" t="s">
        <v>46</v>
      </c>
      <c r="AL30" s="1">
        <v>32</v>
      </c>
    </row>
    <row r="31" spans="1:38" x14ac:dyDescent="0.2">
      <c r="A31" s="2" t="str">
        <f>HYPERLINK("https://www.compass.com/listing/438-east-12th-street-unit-6r-manhattan-ny-10009/606456808053607833/","438 E 12th St, Unit 6R")</f>
        <v>438 E 12th St, Unit 6R</v>
      </c>
      <c r="B31" s="2" t="str">
        <f>HYPERLINK("https://www.compass.com/building/steiner-east-village-manhattan-ny/281900317572873557/","Steiner East Village")</f>
        <v>Steiner East Village</v>
      </c>
      <c r="C31" s="1" t="s">
        <v>52</v>
      </c>
      <c r="D31" s="1" t="s">
        <v>41</v>
      </c>
      <c r="E31" s="3">
        <v>3350000</v>
      </c>
      <c r="F31" s="1">
        <v>2088.5286783042302</v>
      </c>
      <c r="G31" s="1">
        <v>5</v>
      </c>
      <c r="H31" s="1">
        <v>3</v>
      </c>
      <c r="I31" s="1">
        <v>3</v>
      </c>
      <c r="J31" s="1">
        <v>3</v>
      </c>
      <c r="K31" s="1">
        <v>3</v>
      </c>
      <c r="M31" s="4">
        <v>1604</v>
      </c>
      <c r="N31" s="1">
        <v>1791</v>
      </c>
      <c r="O31" s="1">
        <v>5184</v>
      </c>
      <c r="P31" s="1">
        <v>3393</v>
      </c>
      <c r="Q31" s="1" t="s">
        <v>42</v>
      </c>
      <c r="S31" s="1" t="s">
        <v>42</v>
      </c>
      <c r="T31" s="1" t="s">
        <v>43</v>
      </c>
      <c r="U31" s="1">
        <v>339</v>
      </c>
      <c r="V31" s="5">
        <v>44427</v>
      </c>
      <c r="W31" s="5">
        <v>44088</v>
      </c>
      <c r="X31" s="1">
        <v>3890000</v>
      </c>
      <c r="AB31" s="1" t="s">
        <v>44</v>
      </c>
      <c r="AF31" s="1">
        <v>10009</v>
      </c>
      <c r="AI31" s="1" t="s">
        <v>71</v>
      </c>
      <c r="AJ31" s="1">
        <v>2017</v>
      </c>
      <c r="AK31" s="1" t="s">
        <v>49</v>
      </c>
      <c r="AL31" s="1">
        <v>82</v>
      </c>
    </row>
    <row r="32" spans="1:38" x14ac:dyDescent="0.2">
      <c r="A32" s="2" t="str">
        <f>HYPERLINK("https://www.compass.com/listing/2-park-place-unit-pavilion-a-manhattan-ny-10007/247755883189171089/","2 Park Pl, Unit PAVILION A")</f>
        <v>2 Park Pl, Unit PAVILION A</v>
      </c>
      <c r="B32" s="2" t="str">
        <f>HYPERLINK("https://www.compass.com/building/the-woolworth-tower-residences-manhattan-ny/294842395015266853/","The Woolworth Tower Residences")</f>
        <v>The Woolworth Tower Residences</v>
      </c>
      <c r="C32" s="1" t="s">
        <v>65</v>
      </c>
      <c r="D32" s="1" t="s">
        <v>41</v>
      </c>
      <c r="E32" s="3">
        <v>25950000</v>
      </c>
      <c r="F32" s="1">
        <v>3866.78587393831</v>
      </c>
      <c r="G32" s="1">
        <v>9</v>
      </c>
      <c r="H32" s="1">
        <v>5</v>
      </c>
      <c r="I32" s="1">
        <v>5</v>
      </c>
      <c r="J32" s="1">
        <v>5</v>
      </c>
      <c r="K32" s="1">
        <v>4</v>
      </c>
      <c r="L32" s="1">
        <v>2</v>
      </c>
      <c r="M32" s="4">
        <v>6711</v>
      </c>
      <c r="N32" s="1">
        <v>12765</v>
      </c>
      <c r="O32" s="1">
        <v>24372</v>
      </c>
      <c r="P32" s="1">
        <v>11607</v>
      </c>
      <c r="Q32" s="1" t="s">
        <v>42</v>
      </c>
      <c r="S32" s="1" t="s">
        <v>42</v>
      </c>
      <c r="T32" s="1" t="s">
        <v>43</v>
      </c>
      <c r="U32" s="1">
        <v>739</v>
      </c>
      <c r="V32" s="5">
        <v>44425</v>
      </c>
      <c r="W32" s="5">
        <v>43594</v>
      </c>
      <c r="X32" s="1">
        <v>33350000</v>
      </c>
      <c r="AB32" s="1" t="s">
        <v>44</v>
      </c>
      <c r="AF32" s="1">
        <v>10007</v>
      </c>
      <c r="AI32" s="1" t="s">
        <v>75</v>
      </c>
      <c r="AJ32" s="1">
        <v>1913</v>
      </c>
      <c r="AK32" s="1" t="s">
        <v>46</v>
      </c>
      <c r="AL32" s="1">
        <v>32</v>
      </c>
    </row>
    <row r="33" spans="1:38" x14ac:dyDescent="0.2">
      <c r="A33" s="2" t="str">
        <f>HYPERLINK("https://www.compass.com/listing/160-east-22nd-street-unit-3a-manhattan-ny-10010/777150060038292417/","160 E 22nd St, Unit 3A")</f>
        <v>160 E 22nd St, Unit 3A</v>
      </c>
      <c r="B33" s="2" t="str">
        <f>HYPERLINK("https://www.compass.com/building/160-e-22nd-st-manhattan-ny-10010/292796862321154661/","160 E 22nd St")</f>
        <v>160 E 22nd St</v>
      </c>
      <c r="C33" s="1" t="s">
        <v>54</v>
      </c>
      <c r="D33" s="1" t="s">
        <v>41</v>
      </c>
      <c r="E33" s="3">
        <v>1450000</v>
      </c>
      <c r="F33" s="1">
        <v>1686.0465116278999</v>
      </c>
      <c r="G33" s="1">
        <v>3.5</v>
      </c>
      <c r="H33" s="1">
        <v>1</v>
      </c>
      <c r="I33" s="1">
        <v>1</v>
      </c>
      <c r="J33" s="1">
        <v>1</v>
      </c>
      <c r="K33" s="1">
        <v>1</v>
      </c>
      <c r="M33" s="1">
        <v>860</v>
      </c>
      <c r="N33" s="1">
        <v>1024</v>
      </c>
      <c r="O33" s="1">
        <v>2805</v>
      </c>
      <c r="P33" s="1">
        <v>1781</v>
      </c>
      <c r="Q33" s="1" t="s">
        <v>42</v>
      </c>
      <c r="S33" s="1" t="s">
        <v>42</v>
      </c>
      <c r="T33" s="1" t="s">
        <v>43</v>
      </c>
      <c r="U33" s="1">
        <v>99</v>
      </c>
      <c r="V33" s="5">
        <v>44426</v>
      </c>
      <c r="W33" s="5">
        <v>44328</v>
      </c>
      <c r="X33" s="1">
        <v>1495000</v>
      </c>
      <c r="AB33" s="1" t="s">
        <v>44</v>
      </c>
      <c r="AD33" s="1" t="s">
        <v>89</v>
      </c>
      <c r="AE33" s="1" t="s">
        <v>90</v>
      </c>
      <c r="AF33" s="1">
        <v>10010</v>
      </c>
      <c r="AI33" s="1" t="s">
        <v>91</v>
      </c>
      <c r="AJ33" s="1">
        <v>2012</v>
      </c>
      <c r="AK33" s="1" t="s">
        <v>46</v>
      </c>
      <c r="AL33" s="1">
        <v>81</v>
      </c>
    </row>
    <row r="34" spans="1:38" x14ac:dyDescent="0.2">
      <c r="A34" s="2" t="str">
        <f>HYPERLINK("https://www.compass.com/listing/2-park-place-unit-pinnacle-penthouse-manhattan-ny-10007/745581251884455121/","2 Park Pl, Unit PINNACLE PENTHOUSE")</f>
        <v>2 Park Pl, Unit PINNACLE PENTHOUSE</v>
      </c>
      <c r="B34" s="2" t="str">
        <f>HYPERLINK("https://www.compass.com/building/the-woolworth-tower-residences-manhattan-ny/294842395015266853/","The Woolworth Tower Residences")</f>
        <v>The Woolworth Tower Residences</v>
      </c>
      <c r="C34" s="1" t="s">
        <v>65</v>
      </c>
      <c r="D34" s="1" t="s">
        <v>41</v>
      </c>
      <c r="E34" s="3">
        <v>79000000</v>
      </c>
      <c r="F34" s="1">
        <v>8161.1570247933796</v>
      </c>
      <c r="G34" s="1">
        <v>5</v>
      </c>
      <c r="H34" s="1">
        <v>1</v>
      </c>
      <c r="I34" s="1">
        <v>1</v>
      </c>
      <c r="J34" s="1">
        <v>1</v>
      </c>
      <c r="K34" s="1">
        <v>1</v>
      </c>
      <c r="M34" s="4">
        <v>9680</v>
      </c>
      <c r="N34" s="1">
        <v>16866</v>
      </c>
      <c r="O34" s="1">
        <v>31223</v>
      </c>
      <c r="P34" s="1">
        <v>14357</v>
      </c>
      <c r="Q34" s="1" t="s">
        <v>42</v>
      </c>
      <c r="S34" s="1" t="s">
        <v>42</v>
      </c>
      <c r="T34" s="1" t="s">
        <v>43</v>
      </c>
      <c r="U34" s="1">
        <v>146</v>
      </c>
      <c r="V34" s="5">
        <v>44425</v>
      </c>
      <c r="W34" s="5">
        <v>44281</v>
      </c>
      <c r="X34" s="1">
        <v>79000000</v>
      </c>
      <c r="AB34" s="1" t="s">
        <v>44</v>
      </c>
      <c r="AF34" s="1">
        <v>10007</v>
      </c>
      <c r="AI34" s="1" t="s">
        <v>92</v>
      </c>
      <c r="AJ34" s="1">
        <v>1913</v>
      </c>
      <c r="AK34" s="1" t="s">
        <v>46</v>
      </c>
      <c r="AL34" s="1">
        <v>32</v>
      </c>
    </row>
    <row r="35" spans="1:38" x14ac:dyDescent="0.2">
      <c r="A35" s="2" t="str">
        <f>HYPERLINK("https://www.compass.com/listing/368-3rd-avenue-unit-3e-manhattan-ny-10016/840516099827778769/","368 3rd Ave, Unit 3E")</f>
        <v>368 3rd Ave, Unit 3E</v>
      </c>
      <c r="B35" s="2" t="str">
        <f t="shared" ref="B35:B36" si="3">HYPERLINK("https://www.compass.com/building/vu-new-york-manhattan-ny/282062889668350181/","Vu New York")</f>
        <v>Vu New York</v>
      </c>
      <c r="C35" s="1" t="s">
        <v>93</v>
      </c>
      <c r="D35" s="1" t="s">
        <v>41</v>
      </c>
      <c r="E35" s="3">
        <v>899000</v>
      </c>
      <c r="F35" s="1">
        <v>1555.3633217992999</v>
      </c>
      <c r="G35" s="1">
        <v>2</v>
      </c>
      <c r="H35" s="1" t="s">
        <v>94</v>
      </c>
      <c r="I35" s="1">
        <v>1</v>
      </c>
      <c r="J35" s="1">
        <v>1</v>
      </c>
      <c r="K35" s="1">
        <v>1</v>
      </c>
      <c r="M35" s="1">
        <v>578</v>
      </c>
      <c r="N35" s="1">
        <v>746</v>
      </c>
      <c r="O35" s="1">
        <v>1359</v>
      </c>
      <c r="P35" s="1">
        <v>613</v>
      </c>
      <c r="Q35" s="1" t="s">
        <v>42</v>
      </c>
      <c r="S35" s="1" t="s">
        <v>42</v>
      </c>
      <c r="T35" s="1" t="s">
        <v>43</v>
      </c>
      <c r="U35" s="1">
        <v>16</v>
      </c>
      <c r="V35" s="5">
        <v>44412</v>
      </c>
      <c r="W35" s="5">
        <v>44411</v>
      </c>
      <c r="X35" s="1">
        <v>899000</v>
      </c>
      <c r="AB35" s="1" t="s">
        <v>44</v>
      </c>
      <c r="AF35" s="1">
        <v>10016</v>
      </c>
      <c r="AJ35" s="1">
        <v>2020</v>
      </c>
      <c r="AK35" s="1" t="s">
        <v>46</v>
      </c>
      <c r="AL35" s="1">
        <v>100</v>
      </c>
    </row>
    <row r="36" spans="1:38" x14ac:dyDescent="0.2">
      <c r="A36" s="2" t="str">
        <f>HYPERLINK("https://www.compass.com/listing/368-3rd-avenue-unit-4c-manhattan-ny-10016/840506739710004289/","368 3rd Ave, Unit 4C")</f>
        <v>368 3rd Ave, Unit 4C</v>
      </c>
      <c r="B36" s="2" t="str">
        <f t="shared" si="3"/>
        <v>Vu New York</v>
      </c>
      <c r="C36" s="1" t="s">
        <v>93</v>
      </c>
      <c r="D36" s="1" t="s">
        <v>41</v>
      </c>
      <c r="E36" s="3">
        <v>1570000</v>
      </c>
      <c r="F36" s="1">
        <v>1628.63070539419</v>
      </c>
      <c r="G36" s="1">
        <v>3</v>
      </c>
      <c r="H36" s="1">
        <v>1</v>
      </c>
      <c r="I36" s="1">
        <v>1</v>
      </c>
      <c r="J36" s="1">
        <v>1</v>
      </c>
      <c r="K36" s="1">
        <v>1</v>
      </c>
      <c r="M36" s="1">
        <v>964</v>
      </c>
      <c r="N36" s="1">
        <v>1244</v>
      </c>
      <c r="O36" s="1">
        <v>2267</v>
      </c>
      <c r="P36" s="1">
        <v>1023</v>
      </c>
      <c r="Q36" s="1" t="s">
        <v>42</v>
      </c>
      <c r="S36" s="1" t="s">
        <v>42</v>
      </c>
      <c r="T36" s="1" t="s">
        <v>43</v>
      </c>
      <c r="U36" s="1">
        <v>16</v>
      </c>
      <c r="V36" s="5">
        <v>44412</v>
      </c>
      <c r="W36" s="5">
        <v>44411</v>
      </c>
      <c r="X36" s="1">
        <v>1570000</v>
      </c>
      <c r="AB36" s="1" t="s">
        <v>44</v>
      </c>
      <c r="AF36" s="1">
        <v>10016</v>
      </c>
      <c r="AJ36" s="1">
        <v>2020</v>
      </c>
      <c r="AK36" s="1" t="s">
        <v>46</v>
      </c>
      <c r="AL36" s="1">
        <v>100</v>
      </c>
    </row>
    <row r="37" spans="1:38" x14ac:dyDescent="0.2">
      <c r="A37" s="2" t="str">
        <f>HYPERLINK("https://www.compass.com/listing/160-east-22nd-street-unit-15e-manhattan-ny-10010/750562974907322721/","160 E 22nd St, Unit 15E")</f>
        <v>160 E 22nd St, Unit 15E</v>
      </c>
      <c r="B37" s="2" t="str">
        <f>HYPERLINK("https://www.compass.com/building/160-e-22nd-st-manhattan-ny-10010/292796862321154661/","160 E 22nd St")</f>
        <v>160 E 22nd St</v>
      </c>
      <c r="C37" s="1" t="s">
        <v>54</v>
      </c>
      <c r="D37" s="1" t="s">
        <v>41</v>
      </c>
      <c r="E37" s="3">
        <v>2850000</v>
      </c>
      <c r="F37" s="1">
        <v>1850.64935064935</v>
      </c>
      <c r="G37" s="1">
        <v>5</v>
      </c>
      <c r="H37" s="1">
        <v>3</v>
      </c>
      <c r="I37" s="1">
        <v>2</v>
      </c>
      <c r="J37" s="1">
        <v>2</v>
      </c>
      <c r="K37" s="1">
        <v>2</v>
      </c>
      <c r="M37" s="4">
        <v>1540</v>
      </c>
      <c r="N37" s="1">
        <v>1887</v>
      </c>
      <c r="O37" s="1">
        <v>5056</v>
      </c>
      <c r="P37" s="1">
        <v>3169</v>
      </c>
      <c r="Q37" s="1" t="s">
        <v>42</v>
      </c>
      <c r="S37" s="1" t="s">
        <v>42</v>
      </c>
      <c r="T37" s="1" t="s">
        <v>43</v>
      </c>
      <c r="U37" s="1">
        <v>139</v>
      </c>
      <c r="V37" s="5">
        <v>44425</v>
      </c>
      <c r="W37" s="5">
        <v>44287</v>
      </c>
      <c r="X37" s="1">
        <v>2850000</v>
      </c>
      <c r="AB37" s="1" t="s">
        <v>44</v>
      </c>
      <c r="AF37" s="1">
        <v>10010</v>
      </c>
      <c r="AI37" s="1" t="s">
        <v>51</v>
      </c>
      <c r="AJ37" s="1">
        <v>2012</v>
      </c>
      <c r="AK37" s="1" t="s">
        <v>46</v>
      </c>
      <c r="AL37" s="1">
        <v>81</v>
      </c>
    </row>
    <row r="38" spans="1:38" x14ac:dyDescent="0.2">
      <c r="A38" s="2" t="str">
        <f>HYPERLINK("https://www.compass.com/listing/368-3rd-avenue-unit-7b-manhattan-ny-10016/840506598286608345/","368 3rd Ave, Unit 7B")</f>
        <v>368 3rd Ave, Unit 7B</v>
      </c>
      <c r="B38" s="2" t="str">
        <f t="shared" ref="B38:B40" si="4">HYPERLINK("https://www.compass.com/building/vu-new-york-manhattan-ny/282062889668350181/","Vu New York")</f>
        <v>Vu New York</v>
      </c>
      <c r="C38" s="1" t="s">
        <v>93</v>
      </c>
      <c r="D38" s="1" t="s">
        <v>41</v>
      </c>
      <c r="E38" s="3">
        <v>1949000</v>
      </c>
      <c r="F38" s="1">
        <v>1826.6166822867799</v>
      </c>
      <c r="G38" s="1">
        <v>4</v>
      </c>
      <c r="H38" s="1">
        <v>2</v>
      </c>
      <c r="I38" s="1">
        <v>2</v>
      </c>
      <c r="J38" s="1">
        <v>2</v>
      </c>
      <c r="K38" s="1">
        <v>2</v>
      </c>
      <c r="M38" s="4">
        <v>1067</v>
      </c>
      <c r="N38" s="1">
        <v>1378</v>
      </c>
      <c r="O38" s="1">
        <v>2510</v>
      </c>
      <c r="P38" s="1">
        <v>1132</v>
      </c>
      <c r="Q38" s="1" t="s">
        <v>42</v>
      </c>
      <c r="S38" s="1" t="s">
        <v>42</v>
      </c>
      <c r="T38" s="1" t="s">
        <v>43</v>
      </c>
      <c r="U38" s="1">
        <v>16</v>
      </c>
      <c r="V38" s="5">
        <v>44425</v>
      </c>
      <c r="W38" s="5">
        <v>44411</v>
      </c>
      <c r="X38" s="1">
        <v>1949000</v>
      </c>
      <c r="AB38" s="1" t="s">
        <v>44</v>
      </c>
      <c r="AF38" s="1">
        <v>10016</v>
      </c>
      <c r="AJ38" s="1">
        <v>2020</v>
      </c>
      <c r="AK38" s="1" t="s">
        <v>46</v>
      </c>
      <c r="AL38" s="1">
        <v>100</v>
      </c>
    </row>
    <row r="39" spans="1:38" x14ac:dyDescent="0.2">
      <c r="A39" s="2" t="str">
        <f>HYPERLINK("https://www.compass.com/listing/368-3rd-avenue-unit-26c-manhattan-ny-10016/840506505575805905/","368 3rd Ave, Unit 26C")</f>
        <v>368 3rd Ave, Unit 26C</v>
      </c>
      <c r="B39" s="2" t="str">
        <f t="shared" si="4"/>
        <v>Vu New York</v>
      </c>
      <c r="C39" s="1" t="s">
        <v>93</v>
      </c>
      <c r="D39" s="1" t="s">
        <v>41</v>
      </c>
      <c r="E39" s="3">
        <v>2650000</v>
      </c>
      <c r="F39" s="1">
        <v>2660.6425702811198</v>
      </c>
      <c r="G39" s="1">
        <v>4</v>
      </c>
      <c r="H39" s="1">
        <v>2</v>
      </c>
      <c r="I39" s="1">
        <v>2</v>
      </c>
      <c r="J39" s="1">
        <v>2</v>
      </c>
      <c r="K39" s="1">
        <v>2</v>
      </c>
      <c r="M39" s="1">
        <v>996</v>
      </c>
      <c r="N39" s="1">
        <v>1286</v>
      </c>
      <c r="O39" s="1">
        <v>2343</v>
      </c>
      <c r="P39" s="1">
        <v>1057</v>
      </c>
      <c r="Q39" s="1" t="s">
        <v>42</v>
      </c>
      <c r="S39" s="1" t="s">
        <v>42</v>
      </c>
      <c r="T39" s="1" t="s">
        <v>43</v>
      </c>
      <c r="U39" s="1">
        <v>16</v>
      </c>
      <c r="V39" s="5">
        <v>44412</v>
      </c>
      <c r="W39" s="5">
        <v>44411</v>
      </c>
      <c r="X39" s="1">
        <v>2650000</v>
      </c>
      <c r="AB39" s="1" t="s">
        <v>44</v>
      </c>
      <c r="AF39" s="1">
        <v>10016</v>
      </c>
      <c r="AJ39" s="1">
        <v>2020</v>
      </c>
      <c r="AK39" s="1" t="s">
        <v>46</v>
      </c>
      <c r="AL39" s="1">
        <v>100</v>
      </c>
    </row>
    <row r="40" spans="1:38" x14ac:dyDescent="0.2">
      <c r="A40" s="2" t="str">
        <f>HYPERLINK("https://www.compass.com/listing/368-3rd-avenue-unit-28a-manhattan-ny-10016/840515450592189497/","368 3rd Ave, Unit 28A")</f>
        <v>368 3rd Ave, Unit 28A</v>
      </c>
      <c r="B40" s="2" t="str">
        <f t="shared" si="4"/>
        <v>Vu New York</v>
      </c>
      <c r="C40" s="1" t="s">
        <v>93</v>
      </c>
      <c r="D40" s="1" t="s">
        <v>41</v>
      </c>
      <c r="E40" s="3">
        <v>3800000</v>
      </c>
      <c r="F40" s="1">
        <v>2367.6012461059099</v>
      </c>
      <c r="G40" s="1">
        <v>5.5</v>
      </c>
      <c r="H40" s="1">
        <v>3</v>
      </c>
      <c r="I40" s="1">
        <v>4</v>
      </c>
      <c r="J40" s="1">
        <v>3.5</v>
      </c>
      <c r="K40" s="1">
        <v>3</v>
      </c>
      <c r="L40" s="1">
        <v>1</v>
      </c>
      <c r="M40" s="4">
        <v>1605</v>
      </c>
      <c r="N40" s="1">
        <v>2072</v>
      </c>
      <c r="O40" s="1">
        <v>3775</v>
      </c>
      <c r="P40" s="1">
        <v>1703</v>
      </c>
      <c r="Q40" s="1" t="s">
        <v>42</v>
      </c>
      <c r="S40" s="1" t="s">
        <v>42</v>
      </c>
      <c r="T40" s="1" t="s">
        <v>43</v>
      </c>
      <c r="U40" s="1">
        <v>16</v>
      </c>
      <c r="V40" s="5">
        <v>44412</v>
      </c>
      <c r="W40" s="5">
        <v>44411</v>
      </c>
      <c r="X40" s="1">
        <v>3800000</v>
      </c>
      <c r="AB40" s="1" t="s">
        <v>44</v>
      </c>
      <c r="AF40" s="1">
        <v>10016</v>
      </c>
      <c r="AJ40" s="1">
        <v>2020</v>
      </c>
      <c r="AK40" s="1" t="s">
        <v>46</v>
      </c>
      <c r="AL40" s="1">
        <v>100</v>
      </c>
    </row>
    <row r="41" spans="1:38" x14ac:dyDescent="0.2">
      <c r="A41" s="2" t="str">
        <f>HYPERLINK("https://www.compass.com/listing/500-west-25th-street-unit-6-manhattan-ny-10001/829328333129123993/","500 W 25th St, Unit 6")</f>
        <v>500 W 25th St, Unit 6</v>
      </c>
      <c r="B41" s="2" t="str">
        <f>HYPERLINK("https://www.compass.com/building/the-emerson-manhattan-ny/282059788475465749/","The Emerson")</f>
        <v>The Emerson</v>
      </c>
      <c r="C41" s="1" t="s">
        <v>73</v>
      </c>
      <c r="D41" s="1" t="s">
        <v>41</v>
      </c>
      <c r="E41" s="3">
        <v>4500000</v>
      </c>
      <c r="F41" s="1">
        <v>1894.7368421052599</v>
      </c>
      <c r="G41" s="1">
        <v>5</v>
      </c>
      <c r="H41" s="1">
        <v>3</v>
      </c>
      <c r="I41" s="1">
        <v>3</v>
      </c>
      <c r="J41" s="1">
        <v>3</v>
      </c>
      <c r="K41" s="1">
        <v>3</v>
      </c>
      <c r="M41" s="4">
        <v>2375</v>
      </c>
      <c r="N41" s="1">
        <v>2069</v>
      </c>
      <c r="O41" s="1">
        <v>7238</v>
      </c>
      <c r="P41" s="1">
        <v>5169</v>
      </c>
      <c r="Q41" s="1" t="s">
        <v>42</v>
      </c>
      <c r="S41" s="1" t="s">
        <v>42</v>
      </c>
      <c r="T41" s="1" t="s">
        <v>43</v>
      </c>
      <c r="U41" s="1">
        <v>31</v>
      </c>
      <c r="V41" s="5">
        <v>44427</v>
      </c>
      <c r="W41" s="5">
        <v>44396</v>
      </c>
      <c r="X41" s="1">
        <v>4500000</v>
      </c>
      <c r="AB41" s="1" t="s">
        <v>44</v>
      </c>
      <c r="AD41" s="1" t="s">
        <v>74</v>
      </c>
      <c r="AE41" s="1" t="s">
        <v>48</v>
      </c>
      <c r="AF41" s="1">
        <v>10001</v>
      </c>
      <c r="AI41" s="1" t="s">
        <v>75</v>
      </c>
      <c r="AJ41" s="1">
        <v>2020</v>
      </c>
      <c r="AK41" s="1" t="s">
        <v>76</v>
      </c>
      <c r="AL41" s="1">
        <v>8</v>
      </c>
    </row>
    <row r="42" spans="1:38" x14ac:dyDescent="0.2">
      <c r="A42" s="2" t="str">
        <f>HYPERLINK("https://www.compass.com/listing/441-convent-avenue-unit-1m-manhattan-ny-10031/837029986856864233/","441 Convent Ave, Unit 1M")</f>
        <v>441 Convent Ave, Unit 1M</v>
      </c>
      <c r="B42" s="2" t="str">
        <f>HYPERLINK("https://www.compass.com/building/441-convent-ave-manhattan-ny-10031/281997455145425477/","441 Convent Ave")</f>
        <v>441 Convent Ave</v>
      </c>
      <c r="C42" s="1" t="s">
        <v>82</v>
      </c>
      <c r="D42" s="1" t="s">
        <v>41</v>
      </c>
      <c r="E42" s="3">
        <v>471000</v>
      </c>
      <c r="F42" s="1">
        <v>770.86743044189802</v>
      </c>
      <c r="G42" s="1">
        <v>3</v>
      </c>
      <c r="H42" s="1">
        <v>1</v>
      </c>
      <c r="I42" s="1">
        <v>1</v>
      </c>
      <c r="J42" s="1">
        <v>1</v>
      </c>
      <c r="K42" s="1">
        <v>1</v>
      </c>
      <c r="M42" s="1">
        <v>611</v>
      </c>
      <c r="N42" s="1">
        <v>393</v>
      </c>
      <c r="O42" s="1">
        <v>717</v>
      </c>
      <c r="P42" s="1">
        <v>324</v>
      </c>
      <c r="Q42" s="1" t="s">
        <v>42</v>
      </c>
      <c r="S42" s="1" t="s">
        <v>42</v>
      </c>
      <c r="T42" s="1" t="s">
        <v>43</v>
      </c>
      <c r="U42" s="1">
        <v>20</v>
      </c>
      <c r="V42" s="5">
        <v>44427</v>
      </c>
      <c r="W42" s="5">
        <v>44407</v>
      </c>
      <c r="X42" s="1">
        <v>471000</v>
      </c>
      <c r="AB42" s="1" t="s">
        <v>44</v>
      </c>
      <c r="AD42" s="1" t="s">
        <v>57</v>
      </c>
      <c r="AE42" s="1" t="s">
        <v>48</v>
      </c>
      <c r="AF42" s="1">
        <v>10031</v>
      </c>
      <c r="AJ42" s="1">
        <v>1951</v>
      </c>
      <c r="AL42" s="1">
        <v>90</v>
      </c>
    </row>
    <row r="43" spans="1:38" x14ac:dyDescent="0.2">
      <c r="A43" s="2" t="str">
        <f>HYPERLINK("https://www.compass.com/listing/543-west-122nd-street-unit-5e-manhattan-ny-10027/845572802164223841/","543 W 122nd St, Unit 5E")</f>
        <v>543 W 122nd St, Unit 5E</v>
      </c>
      <c r="B43" s="2" t="str">
        <f>HYPERLINK("https://www.compass.com/building/vandewater-manhattan-ny/282058681657361477/","Vandewater")</f>
        <v>Vandewater</v>
      </c>
      <c r="C43" s="1" t="s">
        <v>95</v>
      </c>
      <c r="D43" s="1" t="s">
        <v>41</v>
      </c>
      <c r="E43" s="3">
        <v>1775000</v>
      </c>
      <c r="F43" s="1">
        <v>1492.8511354079001</v>
      </c>
      <c r="G43" s="1">
        <v>4</v>
      </c>
      <c r="H43" s="1">
        <v>2</v>
      </c>
      <c r="I43" s="1">
        <v>2</v>
      </c>
      <c r="J43" s="1">
        <v>2</v>
      </c>
      <c r="K43" s="1">
        <v>2</v>
      </c>
      <c r="M43" s="4">
        <v>1189</v>
      </c>
      <c r="N43" s="1">
        <v>1182</v>
      </c>
      <c r="O43" s="1">
        <v>2601</v>
      </c>
      <c r="P43" s="1">
        <v>1419</v>
      </c>
      <c r="Q43" s="1" t="s">
        <v>42</v>
      </c>
      <c r="S43" s="1" t="s">
        <v>42</v>
      </c>
      <c r="T43" s="1" t="s">
        <v>43</v>
      </c>
      <c r="U43" s="1">
        <v>9</v>
      </c>
      <c r="V43" s="5">
        <v>44421</v>
      </c>
      <c r="W43" s="5">
        <v>44418</v>
      </c>
      <c r="X43" s="1">
        <v>1775000</v>
      </c>
      <c r="AB43" s="1" t="s">
        <v>44</v>
      </c>
      <c r="AF43" s="1">
        <v>10027</v>
      </c>
      <c r="AI43" s="1" t="s">
        <v>96</v>
      </c>
      <c r="AJ43" s="1">
        <v>2019</v>
      </c>
      <c r="AK43" s="1" t="s">
        <v>46</v>
      </c>
      <c r="AL43" s="1">
        <v>183</v>
      </c>
    </row>
    <row r="44" spans="1:38" x14ac:dyDescent="0.2">
      <c r="A44" s="2" t="str">
        <f>HYPERLINK("https://www.compass.com/listing/110-charlton-street-unit-15b-manhattan-ny-10014/821658139671575377/","110 Charlton St, Unit 15B")</f>
        <v>110 Charlton St, Unit 15B</v>
      </c>
      <c r="B44" s="2" t="str">
        <f>HYPERLINK("https://www.compass.com/building/greenwich-west-manhattan-ny/282058690331179733/","Greenwich West")</f>
        <v>Greenwich West</v>
      </c>
      <c r="C44" s="1" t="s">
        <v>72</v>
      </c>
      <c r="D44" s="1" t="s">
        <v>41</v>
      </c>
      <c r="E44" s="3">
        <v>1745000</v>
      </c>
      <c r="F44" s="1">
        <v>2299.0777338603398</v>
      </c>
      <c r="G44" s="1">
        <v>3</v>
      </c>
      <c r="H44" s="1">
        <v>1</v>
      </c>
      <c r="I44" s="1">
        <v>1</v>
      </c>
      <c r="J44" s="1">
        <v>1</v>
      </c>
      <c r="K44" s="1">
        <v>1</v>
      </c>
      <c r="M44" s="1">
        <v>759</v>
      </c>
      <c r="N44" s="1">
        <v>683</v>
      </c>
      <c r="O44" s="1">
        <v>2330</v>
      </c>
      <c r="P44" s="1">
        <v>1647</v>
      </c>
      <c r="Q44" s="1" t="s">
        <v>42</v>
      </c>
      <c r="S44" s="1" t="s">
        <v>42</v>
      </c>
      <c r="T44" s="1" t="s">
        <v>43</v>
      </c>
      <c r="U44" s="1">
        <v>42</v>
      </c>
      <c r="V44" s="5">
        <v>44414</v>
      </c>
      <c r="W44" s="5">
        <v>44385</v>
      </c>
      <c r="X44" s="1">
        <v>1745000</v>
      </c>
      <c r="AB44" s="1" t="s">
        <v>44</v>
      </c>
      <c r="AF44" s="1">
        <v>10014</v>
      </c>
      <c r="AI44" s="1" t="s">
        <v>51</v>
      </c>
      <c r="AJ44" s="1">
        <v>2020</v>
      </c>
      <c r="AK44" s="1" t="s">
        <v>46</v>
      </c>
      <c r="AL44" s="1">
        <v>170</v>
      </c>
    </row>
    <row r="45" spans="1:38" x14ac:dyDescent="0.2">
      <c r="A45" s="2" t="str">
        <f>HYPERLINK("https://www.compass.com/listing/293-lafayette-street-unit-ph1-manhattan-ny-10012/801631131078466657/","293 Lafayette St, Unit PH1")</f>
        <v>293 Lafayette St, Unit PH1</v>
      </c>
      <c r="B45" s="2" t="str">
        <f>HYPERLINK("https://www.compass.com/building/puck-penthouses-manhattan-ny/292811307244096869/","Puck Penthouses")</f>
        <v>Puck Penthouses</v>
      </c>
      <c r="C45" s="1" t="s">
        <v>97</v>
      </c>
      <c r="D45" s="1" t="s">
        <v>41</v>
      </c>
      <c r="E45" s="3">
        <v>42500000</v>
      </c>
      <c r="F45" s="1">
        <v>5869.3550614555998</v>
      </c>
      <c r="G45" s="1">
        <v>20</v>
      </c>
      <c r="H45" s="1">
        <v>5</v>
      </c>
      <c r="I45" s="1">
        <v>8</v>
      </c>
      <c r="J45" s="1">
        <v>7.5</v>
      </c>
      <c r="K45" s="1">
        <v>7</v>
      </c>
      <c r="L45" s="1">
        <v>1</v>
      </c>
      <c r="M45" s="4">
        <v>7241</v>
      </c>
      <c r="N45" s="1">
        <v>13405</v>
      </c>
      <c r="O45" s="1">
        <v>27897</v>
      </c>
      <c r="P45" s="1">
        <v>14492</v>
      </c>
      <c r="Q45" s="1" t="s">
        <v>42</v>
      </c>
      <c r="S45" s="1" t="s">
        <v>42</v>
      </c>
      <c r="T45" s="1" t="s">
        <v>43</v>
      </c>
      <c r="U45" s="1">
        <v>789</v>
      </c>
      <c r="V45" s="5">
        <v>44393</v>
      </c>
      <c r="W45" s="5">
        <v>43544</v>
      </c>
      <c r="X45" s="1">
        <v>42500000</v>
      </c>
      <c r="AB45" s="1" t="s">
        <v>44</v>
      </c>
      <c r="AF45" s="1">
        <v>10012</v>
      </c>
      <c r="AI45" s="1" t="s">
        <v>75</v>
      </c>
      <c r="AJ45" s="1">
        <v>1885</v>
      </c>
      <c r="AK45" s="1" t="s">
        <v>46</v>
      </c>
      <c r="AL45" s="1">
        <v>6</v>
      </c>
    </row>
    <row r="46" spans="1:38" x14ac:dyDescent="0.2">
      <c r="A46" s="2" t="str">
        <f>HYPERLINK("https://www.compass.com/listing/180-6th-avenue-unit-3c-manhattan-ny-10013/784719990870637505/","180 6th Ave, Unit 3C")</f>
        <v>180 6th Ave, Unit 3C</v>
      </c>
      <c r="B46" s="2" t="str">
        <f>HYPERLINK("https://www.compass.com/building/one-vandam-manhattan-ny/307436879024291493/","One Vandam")</f>
        <v>One Vandam</v>
      </c>
      <c r="C46" s="1" t="s">
        <v>50</v>
      </c>
      <c r="D46" s="1" t="s">
        <v>41</v>
      </c>
      <c r="E46" s="3">
        <v>2250000</v>
      </c>
      <c r="F46" s="1">
        <v>2691.3875598086101</v>
      </c>
      <c r="G46" s="1">
        <v>3</v>
      </c>
      <c r="H46" s="1">
        <v>1</v>
      </c>
      <c r="I46" s="1">
        <v>1</v>
      </c>
      <c r="J46" s="1">
        <v>1</v>
      </c>
      <c r="K46" s="1">
        <v>1</v>
      </c>
      <c r="M46" s="1">
        <v>836</v>
      </c>
      <c r="N46" s="1">
        <v>1307</v>
      </c>
      <c r="O46" s="1">
        <v>3484</v>
      </c>
      <c r="P46" s="1">
        <v>2177</v>
      </c>
      <c r="Q46" s="1" t="s">
        <v>42</v>
      </c>
      <c r="S46" s="1" t="s">
        <v>42</v>
      </c>
      <c r="T46" s="1" t="s">
        <v>43</v>
      </c>
      <c r="U46" s="1">
        <v>93</v>
      </c>
      <c r="V46" s="5">
        <v>44379</v>
      </c>
      <c r="W46" s="5">
        <v>44334</v>
      </c>
      <c r="X46" s="1">
        <v>2250000</v>
      </c>
      <c r="AB46" s="1" t="s">
        <v>44</v>
      </c>
      <c r="AF46" s="1">
        <v>10013</v>
      </c>
      <c r="AI46" s="1" t="s">
        <v>51</v>
      </c>
      <c r="AJ46" s="1">
        <v>2014</v>
      </c>
      <c r="AK46" s="1" t="s">
        <v>49</v>
      </c>
      <c r="AL46" s="1">
        <v>25</v>
      </c>
    </row>
    <row r="47" spans="1:38" x14ac:dyDescent="0.2">
      <c r="A47" s="2" t="str">
        <f>HYPERLINK("https://www.compass.com/listing/110-charlton-street-unit-17j-manhattan-ny-10014/821678606826550945/","110 Charlton St, Unit 17J")</f>
        <v>110 Charlton St, Unit 17J</v>
      </c>
      <c r="B47" s="2" t="str">
        <f>HYPERLINK("https://www.compass.com/building/greenwich-west-manhattan-ny/282058690331179733/","Greenwich West")</f>
        <v>Greenwich West</v>
      </c>
      <c r="C47" s="1" t="s">
        <v>72</v>
      </c>
      <c r="D47" s="1" t="s">
        <v>41</v>
      </c>
      <c r="E47" s="3">
        <v>2650000</v>
      </c>
      <c r="F47" s="1">
        <v>2223.1543624161</v>
      </c>
      <c r="G47" s="1">
        <v>4</v>
      </c>
      <c r="H47" s="1">
        <v>2</v>
      </c>
      <c r="I47" s="1">
        <v>2</v>
      </c>
      <c r="J47" s="1">
        <v>2</v>
      </c>
      <c r="K47" s="1">
        <v>2</v>
      </c>
      <c r="M47" s="4">
        <v>1192</v>
      </c>
      <c r="N47" s="1">
        <v>1072</v>
      </c>
      <c r="O47" s="1">
        <v>3658</v>
      </c>
      <c r="P47" s="1">
        <v>2586</v>
      </c>
      <c r="Q47" s="1" t="s">
        <v>42</v>
      </c>
      <c r="S47" s="1" t="s">
        <v>42</v>
      </c>
      <c r="T47" s="1" t="s">
        <v>43</v>
      </c>
      <c r="U47" s="1">
        <v>42</v>
      </c>
      <c r="V47" s="5">
        <v>44414</v>
      </c>
      <c r="W47" s="5">
        <v>44385</v>
      </c>
      <c r="X47" s="1">
        <v>2650000</v>
      </c>
      <c r="AB47" s="1" t="s">
        <v>44</v>
      </c>
      <c r="AF47" s="1">
        <v>10014</v>
      </c>
      <c r="AI47" s="1" t="s">
        <v>51</v>
      </c>
      <c r="AJ47" s="1">
        <v>2020</v>
      </c>
      <c r="AK47" s="1" t="s">
        <v>46</v>
      </c>
      <c r="AL47" s="1">
        <v>170</v>
      </c>
    </row>
    <row r="48" spans="1:38" x14ac:dyDescent="0.2">
      <c r="A48" s="2" t="str">
        <f>HYPERLINK("https://www.compass.com/listing/368-3rd-avenue-unit-5a-manhattan-ny-10016/836152323854365185/","368 3rd Ave, Unit 5A")</f>
        <v>368 3rd Ave, Unit 5A</v>
      </c>
      <c r="B48" s="2" t="str">
        <f>HYPERLINK("https://www.compass.com/building/vu-new-york-manhattan-ny/282062889668350181/","Vu New York")</f>
        <v>Vu New York</v>
      </c>
      <c r="C48" s="1" t="s">
        <v>93</v>
      </c>
      <c r="D48" s="1" t="s">
        <v>41</v>
      </c>
      <c r="E48" s="3">
        <v>879000</v>
      </c>
      <c r="F48" s="1">
        <v>1680.6883365200699</v>
      </c>
      <c r="G48" s="1">
        <v>2</v>
      </c>
      <c r="H48" s="1" t="s">
        <v>94</v>
      </c>
      <c r="I48" s="1">
        <v>1</v>
      </c>
      <c r="J48" s="1">
        <v>1</v>
      </c>
      <c r="K48" s="1">
        <v>1</v>
      </c>
      <c r="M48" s="1">
        <v>523</v>
      </c>
      <c r="N48" s="1">
        <v>675</v>
      </c>
      <c r="O48" s="1">
        <v>1230</v>
      </c>
      <c r="P48" s="1">
        <v>555</v>
      </c>
      <c r="Q48" s="1" t="s">
        <v>42</v>
      </c>
      <c r="S48" s="1" t="s">
        <v>42</v>
      </c>
      <c r="T48" s="1" t="s">
        <v>43</v>
      </c>
      <c r="U48" s="1">
        <v>22</v>
      </c>
      <c r="V48" s="5">
        <v>44411</v>
      </c>
      <c r="W48" s="5">
        <v>44405</v>
      </c>
      <c r="X48" s="1">
        <v>879000</v>
      </c>
      <c r="AB48" s="1" t="s">
        <v>44</v>
      </c>
      <c r="AF48" s="1">
        <v>10016</v>
      </c>
      <c r="AJ48" s="1">
        <v>2020</v>
      </c>
      <c r="AK48" s="1" t="s">
        <v>46</v>
      </c>
      <c r="AL48" s="1">
        <v>100</v>
      </c>
    </row>
    <row r="49" spans="1:38" x14ac:dyDescent="0.2">
      <c r="A49" s="2" t="str">
        <f>HYPERLINK("https://www.compass.com/listing/176-east-82nd-street-unit-5-manhattan-ny-10028/830476729472303585/","176 E 82nd St, Unit 5")</f>
        <v>176 E 82nd St, Unit 5</v>
      </c>
      <c r="B49" s="2" t="str">
        <f>HYPERLINK("https://www.compass.com/building/etage-manhattan-ny/292891484586356869/","Etage")</f>
        <v>Etage</v>
      </c>
      <c r="C49" s="1" t="s">
        <v>98</v>
      </c>
      <c r="D49" s="1" t="s">
        <v>41</v>
      </c>
      <c r="E49" s="3">
        <v>4500000</v>
      </c>
      <c r="F49" s="1">
        <v>1897.93336145086</v>
      </c>
      <c r="G49" s="1">
        <v>6</v>
      </c>
      <c r="H49" s="1">
        <v>4</v>
      </c>
      <c r="I49" s="1">
        <v>4</v>
      </c>
      <c r="J49" s="1">
        <v>3.5</v>
      </c>
      <c r="K49" s="1">
        <v>3</v>
      </c>
      <c r="L49" s="1">
        <v>1</v>
      </c>
      <c r="M49" s="4">
        <v>2371</v>
      </c>
      <c r="N49" s="1">
        <v>2693</v>
      </c>
      <c r="O49" s="1">
        <v>5920</v>
      </c>
      <c r="P49" s="1">
        <v>3227</v>
      </c>
      <c r="Q49" s="1" t="s">
        <v>42</v>
      </c>
      <c r="S49" s="1" t="s">
        <v>42</v>
      </c>
      <c r="T49" s="1" t="s">
        <v>43</v>
      </c>
      <c r="U49" s="1">
        <v>30</v>
      </c>
      <c r="V49" s="5">
        <v>44426</v>
      </c>
      <c r="W49" s="5">
        <v>44397</v>
      </c>
      <c r="X49" s="1">
        <v>4500000</v>
      </c>
      <c r="AB49" s="1" t="s">
        <v>44</v>
      </c>
      <c r="AF49" s="1">
        <v>10028</v>
      </c>
      <c r="AI49" s="1" t="s">
        <v>51</v>
      </c>
      <c r="AJ49" s="1">
        <v>2018</v>
      </c>
      <c r="AK49" s="1" t="s">
        <v>99</v>
      </c>
      <c r="AL49" s="1">
        <v>9</v>
      </c>
    </row>
    <row r="50" spans="1:38" x14ac:dyDescent="0.2">
      <c r="A50" s="2" t="str">
        <f>HYPERLINK("https://www.compass.com/listing/71-laight-street-unit-4b-manhattan-ny-10013/707995521355715121/","71 Laight St, Unit 4B")</f>
        <v>71 Laight St, Unit 4B</v>
      </c>
      <c r="B50" s="2" t="str">
        <f>HYPERLINK("https://www.compass.com/building/the-sterling-mason-manhattan-ny/281919618778432805/","The Sterling Mason")</f>
        <v>The Sterling Mason</v>
      </c>
      <c r="C50" s="1" t="s">
        <v>65</v>
      </c>
      <c r="D50" s="1" t="s">
        <v>41</v>
      </c>
      <c r="E50" s="3">
        <v>5800000</v>
      </c>
      <c r="F50" s="1">
        <v>2614.9684400360602</v>
      </c>
      <c r="G50" s="1">
        <v>7.5</v>
      </c>
      <c r="H50" s="1">
        <v>3</v>
      </c>
      <c r="I50" s="1">
        <v>4</v>
      </c>
      <c r="J50" s="1">
        <v>3.5</v>
      </c>
      <c r="K50" s="1">
        <v>3</v>
      </c>
      <c r="L50" s="1">
        <v>1</v>
      </c>
      <c r="M50" s="4">
        <v>2218</v>
      </c>
      <c r="N50" s="1">
        <v>3728</v>
      </c>
      <c r="O50" s="1">
        <v>6391</v>
      </c>
      <c r="P50" s="1">
        <v>2663</v>
      </c>
      <c r="Q50" s="1" t="s">
        <v>42</v>
      </c>
      <c r="S50" s="1" t="s">
        <v>42</v>
      </c>
      <c r="T50" s="1" t="s">
        <v>43</v>
      </c>
      <c r="U50" s="1">
        <v>198</v>
      </c>
      <c r="V50" s="5">
        <v>44417</v>
      </c>
      <c r="W50" s="5">
        <v>44229</v>
      </c>
      <c r="X50" s="1">
        <v>5950000</v>
      </c>
      <c r="AB50" s="1" t="s">
        <v>44</v>
      </c>
      <c r="AF50" s="1">
        <v>10013</v>
      </c>
      <c r="AI50" s="1" t="s">
        <v>100</v>
      </c>
      <c r="AJ50" s="1">
        <v>2015</v>
      </c>
      <c r="AK50" s="1" t="s">
        <v>46</v>
      </c>
      <c r="AL50" s="1">
        <v>33</v>
      </c>
    </row>
    <row r="51" spans="1:38" x14ac:dyDescent="0.2">
      <c r="A51" s="2" t="str">
        <f>HYPERLINK("https://www.compass.com/listing/110-charlton-street-unit-ph29c-manhattan-ny-10014/806593405271352017/","110 Charlton St, Unit PH29C")</f>
        <v>110 Charlton St, Unit PH29C</v>
      </c>
      <c r="B51" s="2" t="str">
        <f t="shared" ref="B51:B55" si="5">HYPERLINK("https://www.compass.com/building/greenwich-west-manhattan-ny/282058690331179733/","Greenwich West")</f>
        <v>Greenwich West</v>
      </c>
      <c r="C51" s="1" t="s">
        <v>72</v>
      </c>
      <c r="D51" s="1" t="s">
        <v>41</v>
      </c>
      <c r="E51" s="3">
        <v>7300000</v>
      </c>
      <c r="F51" s="1">
        <v>3640.8977556109699</v>
      </c>
      <c r="G51" s="1">
        <v>4.5</v>
      </c>
      <c r="H51" s="1">
        <v>2</v>
      </c>
      <c r="I51" s="1">
        <v>3</v>
      </c>
      <c r="J51" s="1">
        <v>2.5</v>
      </c>
      <c r="K51" s="1">
        <v>2</v>
      </c>
      <c r="L51" s="1">
        <v>1</v>
      </c>
      <c r="M51" s="4">
        <v>2005</v>
      </c>
      <c r="N51" s="1">
        <v>1908</v>
      </c>
      <c r="O51" s="1">
        <v>6510</v>
      </c>
      <c r="P51" s="1">
        <v>4602</v>
      </c>
      <c r="Q51" s="1" t="s">
        <v>42</v>
      </c>
      <c r="S51" s="1" t="s">
        <v>42</v>
      </c>
      <c r="T51" s="1" t="s">
        <v>43</v>
      </c>
      <c r="U51" s="1">
        <v>63</v>
      </c>
      <c r="V51" s="5">
        <v>44414</v>
      </c>
      <c r="W51" s="5">
        <v>44364</v>
      </c>
      <c r="X51" s="1">
        <v>7300000</v>
      </c>
      <c r="AB51" s="1" t="s">
        <v>44</v>
      </c>
      <c r="AF51" s="1">
        <v>10014</v>
      </c>
      <c r="AI51" s="1" t="s">
        <v>101</v>
      </c>
      <c r="AJ51" s="1">
        <v>2020</v>
      </c>
      <c r="AK51" s="1" t="s">
        <v>46</v>
      </c>
      <c r="AL51" s="1">
        <v>170</v>
      </c>
    </row>
    <row r="52" spans="1:38" x14ac:dyDescent="0.2">
      <c r="A52" s="2" t="str">
        <f>HYPERLINK("https://www.compass.com/listing/110-charlton-street-unit-14e-manhattan-ny-10014/784186169229909529/","110 Charlton St, Unit 14E")</f>
        <v>110 Charlton St, Unit 14E</v>
      </c>
      <c r="B52" s="2" t="str">
        <f t="shared" si="5"/>
        <v>Greenwich West</v>
      </c>
      <c r="C52" s="1" t="s">
        <v>72</v>
      </c>
      <c r="D52" s="1" t="s">
        <v>41</v>
      </c>
      <c r="E52" s="3">
        <v>1650000</v>
      </c>
      <c r="F52" s="1">
        <v>1983.1730769230701</v>
      </c>
      <c r="G52" s="1">
        <v>3</v>
      </c>
      <c r="H52" s="1">
        <v>1</v>
      </c>
      <c r="I52" s="1">
        <v>1</v>
      </c>
      <c r="J52" s="1">
        <v>1</v>
      </c>
      <c r="K52" s="1">
        <v>1</v>
      </c>
      <c r="M52" s="1">
        <v>832</v>
      </c>
      <c r="N52" s="1">
        <v>748</v>
      </c>
      <c r="O52" s="1">
        <v>2553</v>
      </c>
      <c r="P52" s="1">
        <v>1805</v>
      </c>
      <c r="Q52" s="1" t="s">
        <v>42</v>
      </c>
      <c r="S52" s="1" t="s">
        <v>42</v>
      </c>
      <c r="T52" s="1" t="s">
        <v>43</v>
      </c>
      <c r="U52" s="1">
        <v>94</v>
      </c>
      <c r="V52" s="5">
        <v>44414</v>
      </c>
      <c r="W52" s="5">
        <v>44333</v>
      </c>
      <c r="X52" s="1">
        <v>1650000</v>
      </c>
      <c r="AB52" s="1" t="s">
        <v>44</v>
      </c>
      <c r="AF52" s="1">
        <v>10014</v>
      </c>
      <c r="AI52" s="1" t="s">
        <v>51</v>
      </c>
      <c r="AJ52" s="1">
        <v>2020</v>
      </c>
      <c r="AK52" s="1" t="s">
        <v>46</v>
      </c>
      <c r="AL52" s="1">
        <v>170</v>
      </c>
    </row>
    <row r="53" spans="1:38" x14ac:dyDescent="0.2">
      <c r="A53" s="2" t="str">
        <f>HYPERLINK("https://www.compass.com/listing/110-charlton-street-unit-11a-manhattan-ny-10014/784186393369013761/","110 Charlton St, Unit 11A")</f>
        <v>110 Charlton St, Unit 11A</v>
      </c>
      <c r="B53" s="2" t="str">
        <f t="shared" si="5"/>
        <v>Greenwich West</v>
      </c>
      <c r="C53" s="1" t="s">
        <v>72</v>
      </c>
      <c r="D53" s="1" t="s">
        <v>41</v>
      </c>
      <c r="E53" s="3">
        <v>2730000</v>
      </c>
      <c r="F53" s="1">
        <v>2028.2317979197601</v>
      </c>
      <c r="G53" s="1">
        <v>4</v>
      </c>
      <c r="H53" s="1">
        <v>2</v>
      </c>
      <c r="I53" s="1">
        <v>2</v>
      </c>
      <c r="J53" s="1">
        <v>2</v>
      </c>
      <c r="K53" s="1">
        <v>2</v>
      </c>
      <c r="M53" s="4">
        <v>1346</v>
      </c>
      <c r="N53" s="1">
        <v>1210</v>
      </c>
      <c r="O53" s="1">
        <v>3859</v>
      </c>
      <c r="P53" s="1">
        <v>2649</v>
      </c>
      <c r="Q53" s="1" t="s">
        <v>42</v>
      </c>
      <c r="S53" s="1" t="s">
        <v>42</v>
      </c>
      <c r="T53" s="1" t="s">
        <v>43</v>
      </c>
      <c r="U53" s="1">
        <v>94</v>
      </c>
      <c r="V53" s="5">
        <v>44414</v>
      </c>
      <c r="W53" s="5">
        <v>44333</v>
      </c>
      <c r="X53" s="1">
        <v>2730000</v>
      </c>
      <c r="AB53" s="1" t="s">
        <v>44</v>
      </c>
      <c r="AF53" s="1">
        <v>10014</v>
      </c>
      <c r="AI53" s="1" t="s">
        <v>51</v>
      </c>
      <c r="AJ53" s="1">
        <v>2020</v>
      </c>
      <c r="AK53" s="1" t="s">
        <v>46</v>
      </c>
      <c r="AL53" s="1">
        <v>170</v>
      </c>
    </row>
    <row r="54" spans="1:38" x14ac:dyDescent="0.2">
      <c r="A54" s="2" t="str">
        <f>HYPERLINK("https://www.compass.com/listing/110-charlton-street-unit-18b-manhattan-ny-10014/784186632092434673/","110 Charlton St, Unit 18B")</f>
        <v>110 Charlton St, Unit 18B</v>
      </c>
      <c r="B54" s="2" t="str">
        <f t="shared" si="5"/>
        <v>Greenwich West</v>
      </c>
      <c r="C54" s="1" t="s">
        <v>72</v>
      </c>
      <c r="D54" s="1" t="s">
        <v>41</v>
      </c>
      <c r="E54" s="3">
        <v>3975000</v>
      </c>
      <c r="F54" s="1">
        <v>2702.24337185588</v>
      </c>
      <c r="G54" s="1">
        <v>4.5</v>
      </c>
      <c r="H54" s="1">
        <v>2</v>
      </c>
      <c r="I54" s="1">
        <v>2</v>
      </c>
      <c r="J54" s="1">
        <v>2</v>
      </c>
      <c r="K54" s="1">
        <v>2</v>
      </c>
      <c r="M54" s="4">
        <v>1471</v>
      </c>
      <c r="N54" s="1">
        <v>1353</v>
      </c>
      <c r="O54" s="1">
        <v>4616</v>
      </c>
      <c r="P54" s="1">
        <v>3263</v>
      </c>
      <c r="Q54" s="1" t="s">
        <v>42</v>
      </c>
      <c r="S54" s="1" t="s">
        <v>42</v>
      </c>
      <c r="T54" s="1" t="s">
        <v>43</v>
      </c>
      <c r="U54" s="1">
        <v>94</v>
      </c>
      <c r="V54" s="5">
        <v>44414</v>
      </c>
      <c r="W54" s="5">
        <v>44333</v>
      </c>
      <c r="X54" s="1">
        <v>3975000</v>
      </c>
      <c r="AB54" s="1" t="s">
        <v>44</v>
      </c>
      <c r="AF54" s="1">
        <v>10014</v>
      </c>
      <c r="AI54" s="1" t="s">
        <v>101</v>
      </c>
      <c r="AJ54" s="1">
        <v>2020</v>
      </c>
      <c r="AK54" s="1" t="s">
        <v>46</v>
      </c>
      <c r="AL54" s="1">
        <v>170</v>
      </c>
    </row>
    <row r="55" spans="1:38" x14ac:dyDescent="0.2">
      <c r="A55" s="2" t="str">
        <f>HYPERLINK("https://www.compass.com/listing/110-charlton-street-unit-24c-manhattan-ny-10014/784186137995021665/","110 Charlton St, Unit 24C")</f>
        <v>110 Charlton St, Unit 24C</v>
      </c>
      <c r="B55" s="2" t="str">
        <f t="shared" si="5"/>
        <v>Greenwich West</v>
      </c>
      <c r="C55" s="1" t="s">
        <v>72</v>
      </c>
      <c r="D55" s="1" t="s">
        <v>41</v>
      </c>
      <c r="E55" s="3">
        <v>5045000</v>
      </c>
      <c r="F55" s="1">
        <v>2465.7869012707702</v>
      </c>
      <c r="G55" s="1">
        <v>6</v>
      </c>
      <c r="H55" s="1">
        <v>3</v>
      </c>
      <c r="I55" s="1">
        <v>4</v>
      </c>
      <c r="J55" s="1">
        <v>3.5</v>
      </c>
      <c r="K55" s="1">
        <v>3</v>
      </c>
      <c r="L55" s="1">
        <v>1</v>
      </c>
      <c r="M55" s="4">
        <v>2046</v>
      </c>
      <c r="N55" s="1">
        <v>1840</v>
      </c>
      <c r="O55" s="1">
        <v>6279</v>
      </c>
      <c r="P55" s="1">
        <v>4439</v>
      </c>
      <c r="Q55" s="1" t="s">
        <v>42</v>
      </c>
      <c r="S55" s="1" t="s">
        <v>42</v>
      </c>
      <c r="T55" s="1" t="s">
        <v>43</v>
      </c>
      <c r="U55" s="1">
        <v>94</v>
      </c>
      <c r="V55" s="5">
        <v>44414</v>
      </c>
      <c r="W55" s="5">
        <v>44333</v>
      </c>
      <c r="X55" s="1">
        <v>5045000</v>
      </c>
      <c r="AB55" s="1" t="s">
        <v>44</v>
      </c>
      <c r="AF55" s="1">
        <v>10014</v>
      </c>
      <c r="AI55" s="1" t="s">
        <v>51</v>
      </c>
      <c r="AJ55" s="1">
        <v>2020</v>
      </c>
      <c r="AK55" s="1" t="s">
        <v>46</v>
      </c>
      <c r="AL55" s="1">
        <v>170</v>
      </c>
    </row>
    <row r="56" spans="1:38" x14ac:dyDescent="0.2">
      <c r="A56" s="2" t="str">
        <f>HYPERLINK("https://www.compass.com/listing/101-leonard-street-unit-2-d-manhattan-ny-10013/778576914598848401/","101 Leonard St, Unit 2/D")</f>
        <v>101 Leonard St, Unit 2/D</v>
      </c>
      <c r="B56" s="2" t="str">
        <f>HYPERLINK("https://www.compass.com/building/the-leonard-manhattan-ny/281919139939910965/","The Leonard")</f>
        <v>The Leonard</v>
      </c>
      <c r="C56" s="1" t="s">
        <v>77</v>
      </c>
      <c r="D56" s="1" t="s">
        <v>41</v>
      </c>
      <c r="E56" s="3">
        <v>2400000</v>
      </c>
      <c r="F56" s="1">
        <v>1589.40397350993</v>
      </c>
      <c r="G56" s="1">
        <v>6</v>
      </c>
      <c r="H56" s="1">
        <v>3</v>
      </c>
      <c r="J56" s="1">
        <v>2</v>
      </c>
      <c r="M56" s="4">
        <v>1510</v>
      </c>
      <c r="N56" s="1">
        <v>1988</v>
      </c>
      <c r="O56" s="1">
        <v>4496</v>
      </c>
      <c r="P56" s="1">
        <v>2508</v>
      </c>
      <c r="S56" s="1" t="s">
        <v>42</v>
      </c>
      <c r="T56" s="1" t="s">
        <v>43</v>
      </c>
      <c r="U56" s="1">
        <v>103</v>
      </c>
      <c r="V56" s="5">
        <v>44337</v>
      </c>
      <c r="W56" s="5">
        <v>44323</v>
      </c>
      <c r="X56" s="1">
        <v>2400000</v>
      </c>
      <c r="AB56" s="1" t="s">
        <v>44</v>
      </c>
      <c r="AF56" s="1">
        <v>10013</v>
      </c>
      <c r="AI56" s="1" t="s">
        <v>55</v>
      </c>
      <c r="AJ56" s="1">
        <v>2014</v>
      </c>
      <c r="AK56" s="1" t="s">
        <v>49</v>
      </c>
      <c r="AL56" s="1">
        <v>66</v>
      </c>
    </row>
    <row r="57" spans="1:38" x14ac:dyDescent="0.2">
      <c r="A57" s="2" t="str">
        <f>HYPERLINK("https://www.compass.com/listing/110-charlton-street-unit-24a-manhattan-ny-10014/784186379510816217/","110 Charlton St, Unit 24A")</f>
        <v>110 Charlton St, Unit 24A</v>
      </c>
      <c r="B57" s="2" t="str">
        <f>HYPERLINK("https://www.compass.com/building/greenwich-west-manhattan-ny/282058690331179733/","Greenwich West")</f>
        <v>Greenwich West</v>
      </c>
      <c r="C57" s="1" t="s">
        <v>72</v>
      </c>
      <c r="D57" s="1" t="s">
        <v>41</v>
      </c>
      <c r="E57" s="3">
        <v>4135000</v>
      </c>
      <c r="F57" s="1">
        <v>2557.20470006184</v>
      </c>
      <c r="G57" s="1">
        <v>4</v>
      </c>
      <c r="H57" s="1">
        <v>2</v>
      </c>
      <c r="I57" s="1">
        <v>3</v>
      </c>
      <c r="J57" s="1">
        <v>2.5</v>
      </c>
      <c r="K57" s="1">
        <v>2</v>
      </c>
      <c r="L57" s="1">
        <v>1</v>
      </c>
      <c r="M57" s="4">
        <v>1617</v>
      </c>
      <c r="N57" s="1">
        <v>1454</v>
      </c>
      <c r="O57" s="1">
        <v>4963</v>
      </c>
      <c r="P57" s="1">
        <v>3509</v>
      </c>
      <c r="Q57" s="1" t="s">
        <v>42</v>
      </c>
      <c r="S57" s="1" t="s">
        <v>42</v>
      </c>
      <c r="T57" s="1" t="s">
        <v>43</v>
      </c>
      <c r="U57" s="1">
        <v>94</v>
      </c>
      <c r="V57" s="5">
        <v>44414</v>
      </c>
      <c r="W57" s="5">
        <v>44333</v>
      </c>
      <c r="X57" s="1">
        <v>4135000</v>
      </c>
      <c r="AB57" s="1" t="s">
        <v>44</v>
      </c>
      <c r="AF57" s="1">
        <v>10014</v>
      </c>
      <c r="AI57" s="1" t="s">
        <v>51</v>
      </c>
      <c r="AJ57" s="1">
        <v>2020</v>
      </c>
      <c r="AK57" s="1" t="s">
        <v>46</v>
      </c>
      <c r="AL57" s="1">
        <v>170</v>
      </c>
    </row>
    <row r="58" spans="1:38" x14ac:dyDescent="0.2">
      <c r="A58" s="2" t="str">
        <f>HYPERLINK("https://www.compass.com/listing/427-east-90th-street-unit-3a-manhattan-ny-10128/797080749717481977/","427 E 90th St, Unit 3A")</f>
        <v>427 E 90th St, Unit 3A</v>
      </c>
      <c r="B58" s="2" t="str">
        <f t="shared" ref="B58:B59" si="6">HYPERLINK("https://www.compass.com/building/427-e-90th-st-manhattan-ny-10128/293530557701282485/","427 E 90th St")</f>
        <v>427 E 90th St</v>
      </c>
      <c r="C58" s="1" t="s">
        <v>98</v>
      </c>
      <c r="D58" s="1" t="s">
        <v>41</v>
      </c>
      <c r="E58" s="3">
        <v>1725000</v>
      </c>
      <c r="F58" s="1">
        <v>1678.0155642023301</v>
      </c>
      <c r="G58" s="1">
        <v>4</v>
      </c>
      <c r="H58" s="1">
        <v>2</v>
      </c>
      <c r="I58" s="1">
        <v>2</v>
      </c>
      <c r="J58" s="1">
        <v>2</v>
      </c>
      <c r="K58" s="1">
        <v>2</v>
      </c>
      <c r="M58" s="4">
        <v>1028</v>
      </c>
      <c r="N58" s="1">
        <v>1249</v>
      </c>
      <c r="O58" s="1">
        <v>2145</v>
      </c>
      <c r="P58" s="1">
        <v>896</v>
      </c>
      <c r="Q58" s="1" t="s">
        <v>42</v>
      </c>
      <c r="S58" s="1" t="s">
        <v>42</v>
      </c>
      <c r="T58" s="1" t="s">
        <v>43</v>
      </c>
      <c r="U58" s="1">
        <v>76</v>
      </c>
      <c r="V58" s="5">
        <v>44425</v>
      </c>
      <c r="W58" s="5">
        <v>44351</v>
      </c>
      <c r="X58" s="1">
        <v>1725000</v>
      </c>
      <c r="AB58" s="1" t="s">
        <v>44</v>
      </c>
      <c r="AD58" s="1" t="s">
        <v>102</v>
      </c>
      <c r="AE58" s="1" t="s">
        <v>48</v>
      </c>
      <c r="AF58" s="1">
        <v>10128</v>
      </c>
      <c r="AI58" s="1" t="s">
        <v>66</v>
      </c>
      <c r="AJ58" s="1">
        <v>2019</v>
      </c>
      <c r="AK58" s="1" t="s">
        <v>69</v>
      </c>
      <c r="AL58" s="1">
        <v>3</v>
      </c>
    </row>
    <row r="59" spans="1:38" x14ac:dyDescent="0.2">
      <c r="A59" s="2" t="str">
        <f>HYPERLINK("https://www.compass.com/listing/427-east-90th-street-unit-3c-manhattan-ny-10128/425932668649953121/","427 E 90th St, Unit 3C")</f>
        <v>427 E 90th St, Unit 3C</v>
      </c>
      <c r="B59" s="2" t="str">
        <f t="shared" si="6"/>
        <v>427 E 90th St</v>
      </c>
      <c r="C59" s="1" t="s">
        <v>98</v>
      </c>
      <c r="D59" s="1" t="s">
        <v>41</v>
      </c>
      <c r="E59" s="3">
        <v>1024500</v>
      </c>
      <c r="F59" s="1">
        <v>1428.87029288702</v>
      </c>
      <c r="G59" s="1">
        <v>3</v>
      </c>
      <c r="H59" s="1">
        <v>1</v>
      </c>
      <c r="I59" s="1">
        <v>1</v>
      </c>
      <c r="J59" s="1">
        <v>1</v>
      </c>
      <c r="K59" s="1">
        <v>1</v>
      </c>
      <c r="M59" s="1">
        <v>717</v>
      </c>
      <c r="N59" s="1">
        <v>878</v>
      </c>
      <c r="O59" s="1">
        <v>1508</v>
      </c>
      <c r="P59" s="1">
        <v>630</v>
      </c>
      <c r="Q59" s="1" t="s">
        <v>42</v>
      </c>
      <c r="S59" s="1" t="s">
        <v>42</v>
      </c>
      <c r="T59" s="1" t="s">
        <v>43</v>
      </c>
      <c r="U59" s="1">
        <v>76</v>
      </c>
      <c r="V59" s="5">
        <v>44425</v>
      </c>
      <c r="W59" s="5">
        <v>44351</v>
      </c>
      <c r="X59" s="1">
        <v>1024500</v>
      </c>
      <c r="AB59" s="1" t="s">
        <v>44</v>
      </c>
      <c r="AD59" s="1" t="s">
        <v>102</v>
      </c>
      <c r="AE59" s="1" t="s">
        <v>48</v>
      </c>
      <c r="AF59" s="1">
        <v>10128</v>
      </c>
      <c r="AI59" s="1" t="s">
        <v>100</v>
      </c>
      <c r="AJ59" s="1">
        <v>2019</v>
      </c>
      <c r="AK59" s="1" t="s">
        <v>69</v>
      </c>
      <c r="AL59" s="1">
        <v>3</v>
      </c>
    </row>
    <row r="60" spans="1:38" x14ac:dyDescent="0.2">
      <c r="A60" s="2" t="str">
        <f>HYPERLINK("https://www.compass.com/listing/500-west-25th-street-unit-ph-manhattan-ny-10001/623993555305985961/","500 W 25th St, Unit PH")</f>
        <v>500 W 25th St, Unit PH</v>
      </c>
      <c r="B60" s="2" t="str">
        <f>HYPERLINK("https://www.compass.com/building/the-emerson-manhattan-ny/282059788475465749/","The Emerson")</f>
        <v>The Emerson</v>
      </c>
      <c r="C60" s="1" t="s">
        <v>73</v>
      </c>
      <c r="D60" s="1" t="s">
        <v>41</v>
      </c>
      <c r="E60" s="3">
        <v>12950000</v>
      </c>
      <c r="F60" s="1">
        <v>2531.76930596285</v>
      </c>
      <c r="G60" s="1">
        <v>8</v>
      </c>
      <c r="H60" s="1">
        <v>4</v>
      </c>
      <c r="I60" s="1">
        <v>5</v>
      </c>
      <c r="J60" s="1">
        <v>4.5</v>
      </c>
      <c r="K60" s="1">
        <v>4</v>
      </c>
      <c r="L60" s="1">
        <v>1</v>
      </c>
      <c r="M60" s="4">
        <v>5115</v>
      </c>
      <c r="N60" s="1">
        <v>4926</v>
      </c>
      <c r="O60" s="1">
        <v>17228</v>
      </c>
      <c r="P60" s="1">
        <v>12302</v>
      </c>
      <c r="Q60" s="1" t="s">
        <v>42</v>
      </c>
      <c r="S60" s="1" t="s">
        <v>42</v>
      </c>
      <c r="T60" s="1" t="s">
        <v>43</v>
      </c>
      <c r="U60" s="1">
        <v>315</v>
      </c>
      <c r="V60" s="5">
        <v>44427</v>
      </c>
      <c r="W60" s="5">
        <v>44112</v>
      </c>
      <c r="X60" s="1">
        <v>15995000</v>
      </c>
      <c r="AB60" s="1" t="s">
        <v>44</v>
      </c>
      <c r="AD60" s="1" t="s">
        <v>74</v>
      </c>
      <c r="AE60" s="1" t="s">
        <v>48</v>
      </c>
      <c r="AF60" s="1">
        <v>10001</v>
      </c>
      <c r="AI60" s="1" t="s">
        <v>103</v>
      </c>
      <c r="AJ60" s="1">
        <v>2020</v>
      </c>
      <c r="AK60" s="1" t="s">
        <v>76</v>
      </c>
      <c r="AL60" s="1">
        <v>8</v>
      </c>
    </row>
    <row r="61" spans="1:38" x14ac:dyDescent="0.2">
      <c r="A61" s="2" t="str">
        <f>HYPERLINK("https://www.compass.com/listing/427-east-90th-street-unit-4b-manhattan-ny-10128/425932693733793137/","427 E 90th St, Unit 4B")</f>
        <v>427 E 90th St, Unit 4B</v>
      </c>
      <c r="B61" s="2" t="str">
        <f>HYPERLINK("https://www.compass.com/building/427-e-90th-st-manhattan-ny-10128/293530557701282485/","427 E 90th St")</f>
        <v>427 E 90th St</v>
      </c>
      <c r="C61" s="1" t="s">
        <v>98</v>
      </c>
      <c r="D61" s="1" t="s">
        <v>41</v>
      </c>
      <c r="E61" s="3">
        <v>1999500</v>
      </c>
      <c r="F61" s="1">
        <v>1743.2432432432399</v>
      </c>
      <c r="G61" s="1">
        <v>4</v>
      </c>
      <c r="H61" s="1">
        <v>2</v>
      </c>
      <c r="I61" s="1">
        <v>2</v>
      </c>
      <c r="J61" s="1">
        <v>2</v>
      </c>
      <c r="K61" s="1">
        <v>2</v>
      </c>
      <c r="M61" s="4">
        <v>1147</v>
      </c>
      <c r="N61" s="1">
        <v>1431</v>
      </c>
      <c r="O61" s="1">
        <v>2458</v>
      </c>
      <c r="P61" s="1">
        <v>1027</v>
      </c>
      <c r="Q61" s="1" t="s">
        <v>42</v>
      </c>
      <c r="S61" s="1" t="s">
        <v>42</v>
      </c>
      <c r="T61" s="1" t="s">
        <v>43</v>
      </c>
      <c r="U61" s="1">
        <v>75</v>
      </c>
      <c r="V61" s="5">
        <v>44425</v>
      </c>
      <c r="W61" s="5">
        <v>43839</v>
      </c>
      <c r="X61" s="1">
        <v>1999500</v>
      </c>
      <c r="AB61" s="1" t="s">
        <v>44</v>
      </c>
      <c r="AD61" s="1" t="s">
        <v>102</v>
      </c>
      <c r="AE61" s="1" t="s">
        <v>48</v>
      </c>
      <c r="AF61" s="1">
        <v>10128</v>
      </c>
      <c r="AI61" s="1" t="s">
        <v>100</v>
      </c>
      <c r="AJ61" s="1">
        <v>2019</v>
      </c>
      <c r="AK61" s="1" t="s">
        <v>69</v>
      </c>
      <c r="AL61" s="1">
        <v>3</v>
      </c>
    </row>
    <row r="62" spans="1:38" x14ac:dyDescent="0.2">
      <c r="A62" s="2" t="str">
        <f>HYPERLINK("https://www.compass.com/listing/21-east-61st-street-unit-9c-manhattan-ny-10065/634827639527460761/","21 E 61st St, Unit 9C")</f>
        <v>21 E 61st St, Unit 9C</v>
      </c>
      <c r="B62" s="2" t="str">
        <f t="shared" ref="B62:B63" si="7">HYPERLINK("https://www.compass.com/building/the-carlton-house-manhattan-ny/292926373863910149/","The Carlton House")</f>
        <v>The Carlton House</v>
      </c>
      <c r="C62" s="1" t="s">
        <v>98</v>
      </c>
      <c r="D62" s="1" t="s">
        <v>41</v>
      </c>
      <c r="E62" s="3">
        <v>5200000</v>
      </c>
      <c r="G62" s="1">
        <v>4</v>
      </c>
      <c r="H62" s="1">
        <v>2</v>
      </c>
      <c r="I62" s="1">
        <v>3</v>
      </c>
      <c r="J62" s="1">
        <v>2.5</v>
      </c>
      <c r="K62" s="1">
        <v>2</v>
      </c>
      <c r="L62" s="1">
        <v>1</v>
      </c>
      <c r="N62" s="1">
        <v>5442</v>
      </c>
      <c r="O62" s="1">
        <v>5442</v>
      </c>
      <c r="Q62" s="1" t="s">
        <v>104</v>
      </c>
      <c r="S62" s="1" t="s">
        <v>104</v>
      </c>
      <c r="T62" s="1" t="s">
        <v>43</v>
      </c>
      <c r="U62" s="1">
        <v>301</v>
      </c>
      <c r="V62" s="5">
        <v>44427</v>
      </c>
      <c r="W62" s="5">
        <v>44126</v>
      </c>
      <c r="X62" s="1">
        <v>5495000</v>
      </c>
      <c r="AB62" s="1" t="s">
        <v>44</v>
      </c>
      <c r="AF62" s="1">
        <v>10065</v>
      </c>
      <c r="AJ62" s="1">
        <v>1951</v>
      </c>
      <c r="AK62" s="1" t="s">
        <v>49</v>
      </c>
      <c r="AL62" s="1">
        <v>68</v>
      </c>
    </row>
    <row r="63" spans="1:38" x14ac:dyDescent="0.2">
      <c r="A63" s="2" t="str">
        <f>HYPERLINK("https://www.compass.com/listing/21-east-61st-street-unit-12c-manhattan-ny-10065/278793117904148833/","21 E 61st St, Unit 12C")</f>
        <v>21 E 61st St, Unit 12C</v>
      </c>
      <c r="B63" s="2" t="str">
        <f t="shared" si="7"/>
        <v>The Carlton House</v>
      </c>
      <c r="C63" s="1" t="s">
        <v>98</v>
      </c>
      <c r="D63" s="1" t="s">
        <v>41</v>
      </c>
      <c r="E63" s="3">
        <v>4950000</v>
      </c>
      <c r="F63" s="1">
        <v>3663.9526276831898</v>
      </c>
      <c r="G63" s="1">
        <v>4</v>
      </c>
      <c r="H63" s="1">
        <v>2</v>
      </c>
      <c r="I63" s="1">
        <v>2</v>
      </c>
      <c r="J63" s="1">
        <v>2</v>
      </c>
      <c r="K63" s="1">
        <v>2</v>
      </c>
      <c r="M63" s="4">
        <v>1351</v>
      </c>
      <c r="N63" s="1">
        <v>5148</v>
      </c>
      <c r="O63" s="1">
        <v>5148</v>
      </c>
      <c r="Q63" s="1" t="s">
        <v>104</v>
      </c>
      <c r="S63" s="1" t="s">
        <v>104</v>
      </c>
      <c r="T63" s="1" t="s">
        <v>43</v>
      </c>
      <c r="U63" s="1">
        <v>574</v>
      </c>
      <c r="V63" s="5">
        <v>44427</v>
      </c>
      <c r="W63" s="5">
        <v>43759</v>
      </c>
      <c r="X63" s="1">
        <v>5750000</v>
      </c>
      <c r="AB63" s="1" t="s">
        <v>44</v>
      </c>
      <c r="AF63" s="1">
        <v>10065</v>
      </c>
      <c r="AI63" s="1" t="s">
        <v>75</v>
      </c>
      <c r="AJ63" s="1">
        <v>1951</v>
      </c>
      <c r="AK63" s="1" t="s">
        <v>49</v>
      </c>
      <c r="AL63" s="1">
        <v>68</v>
      </c>
    </row>
    <row r="64" spans="1:38" x14ac:dyDescent="0.2">
      <c r="A64" s="2" t="str">
        <f>HYPERLINK("https://www.compass.com/listing/427-east-90th-street-unit-2c-manhattan-ny-10128/652266732791117337/","427 E 90th St, Unit 2C")</f>
        <v>427 E 90th St, Unit 2C</v>
      </c>
      <c r="B64" s="2" t="str">
        <f t="shared" ref="B64:B65" si="8">HYPERLINK("https://www.compass.com/building/427-e-90th-st-manhattan-ny-10128/293530557701282485/","427 E 90th St")</f>
        <v>427 E 90th St</v>
      </c>
      <c r="C64" s="1" t="s">
        <v>98</v>
      </c>
      <c r="D64" s="1" t="s">
        <v>41</v>
      </c>
      <c r="E64" s="3">
        <v>999500</v>
      </c>
      <c r="F64" s="1">
        <v>1394.0027894002701</v>
      </c>
      <c r="G64" s="1">
        <v>3</v>
      </c>
      <c r="H64" s="1">
        <v>1</v>
      </c>
      <c r="I64" s="1">
        <v>1</v>
      </c>
      <c r="J64" s="1">
        <v>1</v>
      </c>
      <c r="K64" s="1">
        <v>1</v>
      </c>
      <c r="M64" s="1">
        <v>717</v>
      </c>
      <c r="N64" s="1">
        <v>860</v>
      </c>
      <c r="O64" s="1">
        <v>1477</v>
      </c>
      <c r="P64" s="1">
        <v>617</v>
      </c>
      <c r="Q64" s="1" t="s">
        <v>42</v>
      </c>
      <c r="S64" s="1" t="s">
        <v>42</v>
      </c>
      <c r="T64" s="1" t="s">
        <v>43</v>
      </c>
      <c r="U64" s="1">
        <v>225</v>
      </c>
      <c r="V64" s="5">
        <v>44425</v>
      </c>
      <c r="W64" s="5">
        <v>44151</v>
      </c>
      <c r="X64" s="1">
        <v>995000</v>
      </c>
      <c r="AB64" s="1" t="s">
        <v>44</v>
      </c>
      <c r="AD64" s="1" t="s">
        <v>102</v>
      </c>
      <c r="AE64" s="1" t="s">
        <v>48</v>
      </c>
      <c r="AF64" s="1">
        <v>10128</v>
      </c>
      <c r="AI64" s="1" t="s">
        <v>66</v>
      </c>
      <c r="AJ64" s="1">
        <v>2019</v>
      </c>
      <c r="AK64" s="1" t="s">
        <v>69</v>
      </c>
      <c r="AL64" s="1">
        <v>3</v>
      </c>
    </row>
    <row r="65" spans="1:38" x14ac:dyDescent="0.2">
      <c r="A65" s="2" t="str">
        <f>HYPERLINK("https://www.compass.com/listing/427-east-90th-street-unit-6b-manhattan-ny-10128/740970607604468209/","427 E 90th St, Unit 6B")</f>
        <v>427 E 90th St, Unit 6B</v>
      </c>
      <c r="B65" s="2" t="str">
        <f t="shared" si="8"/>
        <v>427 E 90th St</v>
      </c>
      <c r="C65" s="1" t="s">
        <v>98</v>
      </c>
      <c r="D65" s="1" t="s">
        <v>41</v>
      </c>
      <c r="E65" s="3">
        <v>3162000</v>
      </c>
      <c r="F65" s="1">
        <v>1798.63481228668</v>
      </c>
      <c r="G65" s="1">
        <v>5</v>
      </c>
      <c r="H65" s="1">
        <v>3</v>
      </c>
      <c r="I65" s="1">
        <v>3</v>
      </c>
      <c r="J65" s="1">
        <v>2.5</v>
      </c>
      <c r="K65" s="1">
        <v>2</v>
      </c>
      <c r="L65" s="1">
        <v>1</v>
      </c>
      <c r="M65" s="4">
        <v>1758</v>
      </c>
      <c r="N65" s="1">
        <v>2166</v>
      </c>
      <c r="O65" s="1">
        <v>3720</v>
      </c>
      <c r="P65" s="1">
        <v>1554</v>
      </c>
      <c r="Q65" s="1" t="s">
        <v>42</v>
      </c>
      <c r="S65" s="1" t="s">
        <v>42</v>
      </c>
      <c r="T65" s="1" t="s">
        <v>43</v>
      </c>
      <c r="U65" s="1">
        <v>154</v>
      </c>
      <c r="V65" s="5">
        <v>44425</v>
      </c>
      <c r="W65" s="5">
        <v>44273</v>
      </c>
      <c r="X65" s="1">
        <v>3162000</v>
      </c>
      <c r="AB65" s="1" t="s">
        <v>44</v>
      </c>
      <c r="AD65" s="1" t="s">
        <v>102</v>
      </c>
      <c r="AE65" s="1" t="s">
        <v>48</v>
      </c>
      <c r="AF65" s="1">
        <v>10128</v>
      </c>
      <c r="AI65" s="1" t="s">
        <v>100</v>
      </c>
      <c r="AJ65" s="1">
        <v>2019</v>
      </c>
      <c r="AK65" s="1" t="s">
        <v>69</v>
      </c>
      <c r="AL65" s="1">
        <v>3</v>
      </c>
    </row>
    <row r="66" spans="1:38" x14ac:dyDescent="0.2">
      <c r="A66" s="2" t="str">
        <f>HYPERLINK("https://www.compass.com/listing/139-east-23rd-street-unit-ph-manhattan-ny-10010/769277078279803529/","139 E 23rd St, Unit PH")</f>
        <v>139 E 23rd St, Unit PH</v>
      </c>
      <c r="B66" s="2" t="str">
        <f>HYPERLINK("https://www.compass.com/building/gramercy-north-manhattan-ny/293531500840871717/","Gramercy North")</f>
        <v>Gramercy North</v>
      </c>
      <c r="C66" s="1" t="s">
        <v>93</v>
      </c>
      <c r="D66" s="1" t="s">
        <v>41</v>
      </c>
      <c r="E66" s="3">
        <v>3100000</v>
      </c>
      <c r="F66" s="1">
        <v>2019.54397394136</v>
      </c>
      <c r="G66" s="1">
        <v>4</v>
      </c>
      <c r="H66" s="1">
        <v>2</v>
      </c>
      <c r="I66" s="1">
        <v>2</v>
      </c>
      <c r="J66" s="1">
        <v>2</v>
      </c>
      <c r="K66" s="1">
        <v>2</v>
      </c>
      <c r="M66" s="4">
        <v>1535</v>
      </c>
      <c r="N66" s="1">
        <v>825</v>
      </c>
      <c r="O66" s="1">
        <v>2954</v>
      </c>
      <c r="P66" s="1">
        <v>2129</v>
      </c>
      <c r="Q66" s="1" t="s">
        <v>42</v>
      </c>
      <c r="S66" s="1" t="s">
        <v>42</v>
      </c>
      <c r="T66" s="1" t="s">
        <v>43</v>
      </c>
      <c r="U66" s="1">
        <v>115</v>
      </c>
      <c r="V66" s="5">
        <v>44427</v>
      </c>
      <c r="W66" s="5">
        <v>44312</v>
      </c>
      <c r="X66" s="1">
        <v>3100000</v>
      </c>
      <c r="AB66" s="1" t="s">
        <v>44</v>
      </c>
      <c r="AF66" s="1">
        <v>10010</v>
      </c>
      <c r="AI66" s="1" t="s">
        <v>105</v>
      </c>
      <c r="AJ66" s="1">
        <v>2019</v>
      </c>
      <c r="AK66" s="1" t="s">
        <v>59</v>
      </c>
      <c r="AL66" s="1">
        <v>14</v>
      </c>
    </row>
    <row r="67" spans="1:38" x14ac:dyDescent="0.2">
      <c r="A67" s="2" t="str">
        <f>HYPERLINK("https://www.compass.com/listing/427-east-90th-street-unit-ph9-manhattan-ny-10128/763731725822874049/","427 E 90th St, Unit PH9")</f>
        <v>427 E 90th St, Unit PH9</v>
      </c>
      <c r="B67" s="2" t="str">
        <f>HYPERLINK("https://www.compass.com/building/427-e-90th-st-manhattan-ny-10128/293530557701282485/","427 E 90th St")</f>
        <v>427 E 90th St</v>
      </c>
      <c r="C67" s="1" t="s">
        <v>98</v>
      </c>
      <c r="D67" s="1" t="s">
        <v>41</v>
      </c>
      <c r="E67" s="3">
        <v>4850000</v>
      </c>
      <c r="F67" s="1">
        <v>2093.22399654725</v>
      </c>
      <c r="G67" s="1">
        <v>6.5</v>
      </c>
      <c r="H67" s="1">
        <v>4</v>
      </c>
      <c r="I67" s="1">
        <v>3</v>
      </c>
      <c r="J67" s="1">
        <v>2.5</v>
      </c>
      <c r="K67" s="1">
        <v>2</v>
      </c>
      <c r="L67" s="1">
        <v>1</v>
      </c>
      <c r="M67" s="4">
        <v>2317</v>
      </c>
      <c r="N67" s="1">
        <v>3098</v>
      </c>
      <c r="O67" s="1">
        <v>5321</v>
      </c>
      <c r="P67" s="1">
        <v>2223</v>
      </c>
      <c r="Q67" s="1" t="s">
        <v>42</v>
      </c>
      <c r="S67" s="1" t="s">
        <v>42</v>
      </c>
      <c r="T67" s="1" t="s">
        <v>43</v>
      </c>
      <c r="U67" s="1">
        <v>122</v>
      </c>
      <c r="V67" s="5">
        <v>44425</v>
      </c>
      <c r="W67" s="5">
        <v>44305</v>
      </c>
      <c r="X67" s="1">
        <v>4850000</v>
      </c>
      <c r="AB67" s="1" t="s">
        <v>44</v>
      </c>
      <c r="AD67" s="1" t="s">
        <v>102</v>
      </c>
      <c r="AE67" s="1" t="s">
        <v>48</v>
      </c>
      <c r="AF67" s="1">
        <v>10128</v>
      </c>
      <c r="AI67" s="1" t="s">
        <v>106</v>
      </c>
      <c r="AJ67" s="1">
        <v>2019</v>
      </c>
      <c r="AK67" s="1" t="s">
        <v>69</v>
      </c>
      <c r="AL67" s="1">
        <v>3</v>
      </c>
    </row>
    <row r="68" spans="1:38" x14ac:dyDescent="0.2">
      <c r="A68" s="2" t="str">
        <f>HYPERLINK("https://www.compass.com/listing/139-east-23rd-street-unit-3-manhattan-ny-10010/742750406090016289/","139 E 23rd St, Unit 3")</f>
        <v>139 E 23rd St, Unit 3</v>
      </c>
      <c r="B68" s="2" t="str">
        <f t="shared" ref="B68:B70" si="9">HYPERLINK("https://www.compass.com/building/gramercy-north-manhattan-ny/293531500840871717/","Gramercy North")</f>
        <v>Gramercy North</v>
      </c>
      <c r="C68" s="1" t="s">
        <v>93</v>
      </c>
      <c r="D68" s="1" t="s">
        <v>41</v>
      </c>
      <c r="E68" s="3">
        <v>2415000</v>
      </c>
      <c r="F68" s="1">
        <v>1573.28990228013</v>
      </c>
      <c r="G68" s="1">
        <v>6</v>
      </c>
      <c r="H68" s="1">
        <v>2</v>
      </c>
      <c r="I68" s="1">
        <v>2</v>
      </c>
      <c r="J68" s="1">
        <v>2</v>
      </c>
      <c r="K68" s="1">
        <v>2</v>
      </c>
      <c r="M68" s="4">
        <v>1535</v>
      </c>
      <c r="N68" s="1">
        <v>825</v>
      </c>
      <c r="O68" s="1">
        <v>2954</v>
      </c>
      <c r="P68" s="1">
        <v>2129</v>
      </c>
      <c r="Q68" s="1" t="s">
        <v>42</v>
      </c>
      <c r="S68" s="1" t="s">
        <v>42</v>
      </c>
      <c r="T68" s="1" t="s">
        <v>43</v>
      </c>
      <c r="U68" s="1">
        <v>160</v>
      </c>
      <c r="V68" s="5">
        <v>44427</v>
      </c>
      <c r="W68" s="5">
        <v>44267</v>
      </c>
      <c r="X68" s="1">
        <v>2415000</v>
      </c>
      <c r="AB68" s="1" t="s">
        <v>44</v>
      </c>
      <c r="AF68" s="1">
        <v>10010</v>
      </c>
      <c r="AI68" s="1" t="s">
        <v>105</v>
      </c>
      <c r="AJ68" s="1">
        <v>2019</v>
      </c>
      <c r="AK68" s="1" t="s">
        <v>59</v>
      </c>
      <c r="AL68" s="1">
        <v>14</v>
      </c>
    </row>
    <row r="69" spans="1:38" x14ac:dyDescent="0.2">
      <c r="A69" s="2" t="str">
        <f>HYPERLINK("https://www.compass.com/listing/139-east-23rd-street-unit-4-manhattan-ny-10010/776792570649120761/","139 E 23rd St, Unit 4")</f>
        <v>139 E 23rd St, Unit 4</v>
      </c>
      <c r="B69" s="2" t="str">
        <f t="shared" si="9"/>
        <v>Gramercy North</v>
      </c>
      <c r="C69" s="1" t="s">
        <v>93</v>
      </c>
      <c r="D69" s="1" t="s">
        <v>41</v>
      </c>
      <c r="E69" s="3">
        <v>2470000</v>
      </c>
      <c r="F69" s="1">
        <v>1609.1205211726301</v>
      </c>
      <c r="G69" s="1">
        <v>4.5</v>
      </c>
      <c r="H69" s="1">
        <v>2</v>
      </c>
      <c r="I69" s="1">
        <v>2</v>
      </c>
      <c r="J69" s="1">
        <v>2</v>
      </c>
      <c r="K69" s="1">
        <v>2</v>
      </c>
      <c r="M69" s="4">
        <v>1535</v>
      </c>
      <c r="N69" s="1">
        <v>825</v>
      </c>
      <c r="O69" s="1">
        <v>2954</v>
      </c>
      <c r="P69" s="1">
        <v>2129</v>
      </c>
      <c r="Q69" s="1" t="s">
        <v>42</v>
      </c>
      <c r="S69" s="1" t="s">
        <v>42</v>
      </c>
      <c r="T69" s="1" t="s">
        <v>43</v>
      </c>
      <c r="U69" s="1">
        <v>160</v>
      </c>
      <c r="V69" s="5">
        <v>44427</v>
      </c>
      <c r="W69" s="5">
        <v>44267</v>
      </c>
      <c r="X69" s="1">
        <v>2470000</v>
      </c>
      <c r="AB69" s="1" t="s">
        <v>44</v>
      </c>
      <c r="AF69" s="1">
        <v>10010</v>
      </c>
      <c r="AI69" s="1" t="s">
        <v>107</v>
      </c>
      <c r="AJ69" s="1">
        <v>2019</v>
      </c>
      <c r="AK69" s="1" t="s">
        <v>59</v>
      </c>
      <c r="AL69" s="1">
        <v>14</v>
      </c>
    </row>
    <row r="70" spans="1:38" x14ac:dyDescent="0.2">
      <c r="A70" s="2" t="str">
        <f>HYPERLINK("https://www.compass.com/listing/139-east-23rd-street-unit-7-manhattan-ny-10010/749913274147518665/","139 E 23rd St, Unit 7")</f>
        <v>139 E 23rd St, Unit 7</v>
      </c>
      <c r="B70" s="2" t="str">
        <f t="shared" si="9"/>
        <v>Gramercy North</v>
      </c>
      <c r="C70" s="1" t="s">
        <v>93</v>
      </c>
      <c r="D70" s="1" t="s">
        <v>41</v>
      </c>
      <c r="E70" s="3">
        <v>2590000</v>
      </c>
      <c r="F70" s="1">
        <v>1687.29641693811</v>
      </c>
      <c r="G70" s="1">
        <v>6</v>
      </c>
      <c r="H70" s="1">
        <v>2</v>
      </c>
      <c r="I70" s="1">
        <v>2</v>
      </c>
      <c r="J70" s="1">
        <v>2</v>
      </c>
      <c r="K70" s="1">
        <v>2</v>
      </c>
      <c r="M70" s="4">
        <v>1535</v>
      </c>
      <c r="N70" s="1">
        <v>825</v>
      </c>
      <c r="O70" s="1">
        <v>2954</v>
      </c>
      <c r="P70" s="1">
        <v>2129</v>
      </c>
      <c r="Q70" s="1" t="s">
        <v>42</v>
      </c>
      <c r="S70" s="1" t="s">
        <v>42</v>
      </c>
      <c r="T70" s="1" t="s">
        <v>43</v>
      </c>
      <c r="U70" s="1">
        <v>160</v>
      </c>
      <c r="V70" s="5">
        <v>44414</v>
      </c>
      <c r="W70" s="5">
        <v>44267</v>
      </c>
      <c r="X70" s="1">
        <v>2590000</v>
      </c>
      <c r="AB70" s="1" t="s">
        <v>44</v>
      </c>
      <c r="AF70" s="1">
        <v>10010</v>
      </c>
      <c r="AI70" s="1" t="s">
        <v>105</v>
      </c>
      <c r="AJ70" s="1">
        <v>2019</v>
      </c>
      <c r="AK70" s="1" t="s">
        <v>59</v>
      </c>
      <c r="AL70" s="1">
        <v>14</v>
      </c>
    </row>
    <row r="71" spans="1:38" x14ac:dyDescent="0.2">
      <c r="A71" s="2" t="str">
        <f>HYPERLINK("https://www.compass.com/listing/128-east-28th-street-unit-6b-manhattan-ny-10016/754296534173466417/","128 E 28th St, Unit 6B")</f>
        <v>128 E 28th St, Unit 6B</v>
      </c>
      <c r="B71" s="2" t="str">
        <f t="shared" ref="B71:B75" si="10">HYPERLINK("https://www.compass.com/building/128-e-28th-st-manhattan-ny-10016/293531449779390693/","128 E 28th St")</f>
        <v>128 E 28th St</v>
      </c>
      <c r="C71" s="1" t="s">
        <v>108</v>
      </c>
      <c r="D71" s="1" t="s">
        <v>41</v>
      </c>
      <c r="E71" s="3">
        <v>2653000</v>
      </c>
      <c r="F71" s="1">
        <v>2085.6918238993699</v>
      </c>
      <c r="G71" s="1">
        <v>5</v>
      </c>
      <c r="H71" s="1">
        <v>2</v>
      </c>
      <c r="I71" s="1">
        <v>2</v>
      </c>
      <c r="J71" s="1">
        <v>2</v>
      </c>
      <c r="K71" s="1">
        <v>2</v>
      </c>
      <c r="M71" s="4">
        <v>1272</v>
      </c>
      <c r="N71" s="1">
        <v>798</v>
      </c>
      <c r="O71" s="1">
        <v>2263</v>
      </c>
      <c r="P71" s="1">
        <v>1465</v>
      </c>
      <c r="Q71" s="1" t="s">
        <v>109</v>
      </c>
      <c r="S71" s="1" t="s">
        <v>109</v>
      </c>
      <c r="T71" s="1" t="s">
        <v>43</v>
      </c>
      <c r="U71" s="1">
        <v>112</v>
      </c>
      <c r="V71" s="5">
        <v>44427</v>
      </c>
      <c r="W71" s="5">
        <v>44315</v>
      </c>
      <c r="X71" s="1">
        <v>2653000</v>
      </c>
      <c r="AB71" s="1" t="s">
        <v>44</v>
      </c>
      <c r="AF71" s="1">
        <v>10016</v>
      </c>
      <c r="AI71" s="1" t="s">
        <v>110</v>
      </c>
      <c r="AJ71" s="1">
        <v>1910</v>
      </c>
      <c r="AL71" s="1">
        <v>5</v>
      </c>
    </row>
    <row r="72" spans="1:38" x14ac:dyDescent="0.2">
      <c r="A72" s="2" t="str">
        <f>HYPERLINK("https://www.compass.com/listing/128-east-28th-street-unit-5a-manhattan-ny-10016/754301926147859985/","128 E 28th St, Unit 5A")</f>
        <v>128 E 28th St, Unit 5A</v>
      </c>
      <c r="B72" s="2" t="str">
        <f t="shared" si="10"/>
        <v>128 E 28th St</v>
      </c>
      <c r="C72" s="1" t="s">
        <v>108</v>
      </c>
      <c r="D72" s="1" t="s">
        <v>41</v>
      </c>
      <c r="E72" s="3">
        <v>2577000</v>
      </c>
      <c r="F72" s="1">
        <v>1997.6744186046501</v>
      </c>
      <c r="G72" s="1">
        <v>5</v>
      </c>
      <c r="H72" s="1">
        <v>2</v>
      </c>
      <c r="I72" s="1">
        <v>2</v>
      </c>
      <c r="J72" s="1">
        <v>2</v>
      </c>
      <c r="K72" s="1">
        <v>2</v>
      </c>
      <c r="M72" s="4">
        <v>1290</v>
      </c>
      <c r="N72" s="1">
        <v>815</v>
      </c>
      <c r="O72" s="1">
        <v>2311</v>
      </c>
      <c r="P72" s="1">
        <v>1496</v>
      </c>
      <c r="Q72" s="1" t="s">
        <v>109</v>
      </c>
      <c r="S72" s="1" t="s">
        <v>109</v>
      </c>
      <c r="T72" s="1" t="s">
        <v>43</v>
      </c>
      <c r="U72" s="1">
        <v>112</v>
      </c>
      <c r="V72" s="5">
        <v>44427</v>
      </c>
      <c r="W72" s="5">
        <v>44315</v>
      </c>
      <c r="X72" s="1">
        <v>2577000</v>
      </c>
      <c r="AB72" s="1" t="s">
        <v>44</v>
      </c>
      <c r="AF72" s="1">
        <v>10016</v>
      </c>
      <c r="AI72" s="1" t="s">
        <v>110</v>
      </c>
      <c r="AJ72" s="1">
        <v>1910</v>
      </c>
      <c r="AL72" s="1">
        <v>5</v>
      </c>
    </row>
    <row r="73" spans="1:38" x14ac:dyDescent="0.2">
      <c r="A73" s="2" t="str">
        <f>HYPERLINK("https://www.compass.com/listing/128-east-28th-street-unit-4a-manhattan-ny-10016/754317267805371729/","128 E 28th St, Unit 4A")</f>
        <v>128 E 28th St, Unit 4A</v>
      </c>
      <c r="B73" s="2" t="str">
        <f t="shared" si="10"/>
        <v>128 E 28th St</v>
      </c>
      <c r="C73" s="1" t="s">
        <v>108</v>
      </c>
      <c r="D73" s="1" t="s">
        <v>41</v>
      </c>
      <c r="E73" s="3">
        <v>2530000</v>
      </c>
      <c r="F73" s="1">
        <v>1961.24031007751</v>
      </c>
      <c r="G73" s="1">
        <v>4</v>
      </c>
      <c r="H73" s="1">
        <v>2</v>
      </c>
      <c r="I73" s="1">
        <v>2</v>
      </c>
      <c r="J73" s="1">
        <v>2</v>
      </c>
      <c r="K73" s="1">
        <v>2</v>
      </c>
      <c r="M73" s="4">
        <v>1290</v>
      </c>
      <c r="N73" s="1">
        <v>815</v>
      </c>
      <c r="O73" s="1">
        <v>2311</v>
      </c>
      <c r="P73" s="1">
        <v>1496</v>
      </c>
      <c r="Q73" s="1" t="s">
        <v>109</v>
      </c>
      <c r="S73" s="1" t="s">
        <v>109</v>
      </c>
      <c r="T73" s="1" t="s">
        <v>43</v>
      </c>
      <c r="U73" s="1">
        <v>112</v>
      </c>
      <c r="V73" s="5">
        <v>44427</v>
      </c>
      <c r="W73" s="5">
        <v>44315</v>
      </c>
      <c r="AB73" s="1" t="s">
        <v>44</v>
      </c>
      <c r="AF73" s="1">
        <v>10016</v>
      </c>
      <c r="AI73" s="1" t="s">
        <v>110</v>
      </c>
      <c r="AJ73" s="1">
        <v>1910</v>
      </c>
      <c r="AL73" s="1">
        <v>5</v>
      </c>
    </row>
    <row r="74" spans="1:38" x14ac:dyDescent="0.2">
      <c r="A74" s="2" t="str">
        <f>HYPERLINK("https://www.compass.com/listing/128-east-28th-street-unit-2b-manhattan-ny-10016/754319674639366913/","128 E 28th St, Unit 2B")</f>
        <v>128 E 28th St, Unit 2B</v>
      </c>
      <c r="B74" s="2" t="str">
        <f t="shared" si="10"/>
        <v>128 E 28th St</v>
      </c>
      <c r="C74" s="1" t="s">
        <v>108</v>
      </c>
      <c r="D74" s="1" t="s">
        <v>41</v>
      </c>
      <c r="E74" s="3">
        <v>2400000</v>
      </c>
      <c r="F74" s="1">
        <v>1886.7924528301801</v>
      </c>
      <c r="G74" s="1">
        <v>5</v>
      </c>
      <c r="H74" s="1">
        <v>2</v>
      </c>
      <c r="I74" s="1">
        <v>2</v>
      </c>
      <c r="J74" s="1">
        <v>2</v>
      </c>
      <c r="K74" s="1">
        <v>2</v>
      </c>
      <c r="M74" s="4">
        <v>1272</v>
      </c>
      <c r="N74" s="1">
        <v>898</v>
      </c>
      <c r="O74" s="1">
        <v>2547</v>
      </c>
      <c r="P74" s="1">
        <v>1649</v>
      </c>
      <c r="Q74" s="1" t="s">
        <v>109</v>
      </c>
      <c r="S74" s="1" t="s">
        <v>109</v>
      </c>
      <c r="T74" s="1" t="s">
        <v>43</v>
      </c>
      <c r="U74" s="1">
        <v>112</v>
      </c>
      <c r="V74" s="5">
        <v>44427</v>
      </c>
      <c r="W74" s="5">
        <v>44315</v>
      </c>
      <c r="AB74" s="1" t="s">
        <v>44</v>
      </c>
      <c r="AF74" s="1">
        <v>10016</v>
      </c>
      <c r="AI74" s="1" t="s">
        <v>111</v>
      </c>
      <c r="AJ74" s="1">
        <v>1910</v>
      </c>
      <c r="AL74" s="1">
        <v>5</v>
      </c>
    </row>
    <row r="75" spans="1:38" x14ac:dyDescent="0.2">
      <c r="A75" s="2" t="str">
        <f>HYPERLINK("https://www.compass.com/listing/128-east-28th-street-unit-ph-manhattan-ny-10016/754296533212847849/","128 E 28th St, Unit PH")</f>
        <v>128 E 28th St, Unit PH</v>
      </c>
      <c r="B75" s="2" t="str">
        <f t="shared" si="10"/>
        <v>128 E 28th St</v>
      </c>
      <c r="C75" s="1" t="s">
        <v>108</v>
      </c>
      <c r="D75" s="1" t="s">
        <v>41</v>
      </c>
      <c r="E75" s="3">
        <v>4999000</v>
      </c>
      <c r="F75" s="1">
        <v>2162.1972318339099</v>
      </c>
      <c r="G75" s="1">
        <v>8.5</v>
      </c>
      <c r="H75" s="1">
        <v>3</v>
      </c>
      <c r="I75" s="1">
        <v>4</v>
      </c>
      <c r="J75" s="1">
        <v>3.5</v>
      </c>
      <c r="K75" s="1">
        <v>3</v>
      </c>
      <c r="L75" s="1">
        <v>1</v>
      </c>
      <c r="M75" s="4">
        <v>2312</v>
      </c>
      <c r="N75" s="1">
        <v>1729</v>
      </c>
      <c r="O75" s="1">
        <v>4905</v>
      </c>
      <c r="P75" s="1">
        <v>3176</v>
      </c>
      <c r="Q75" s="1" t="s">
        <v>109</v>
      </c>
      <c r="S75" s="1" t="s">
        <v>109</v>
      </c>
      <c r="T75" s="1" t="s">
        <v>43</v>
      </c>
      <c r="U75" s="1">
        <v>112</v>
      </c>
      <c r="V75" s="5">
        <v>44427</v>
      </c>
      <c r="W75" s="5">
        <v>44315</v>
      </c>
      <c r="AB75" s="1" t="s">
        <v>44</v>
      </c>
      <c r="AF75" s="1">
        <v>10016</v>
      </c>
      <c r="AI75" s="1" t="s">
        <v>111</v>
      </c>
      <c r="AJ75" s="1">
        <v>1910</v>
      </c>
      <c r="AL75" s="1">
        <v>5</v>
      </c>
    </row>
    <row r="76" spans="1:38" x14ac:dyDescent="0.2">
      <c r="A76" s="2" t="str">
        <f>HYPERLINK("https://www.compass.com/listing/27-east-79th-street-unit-11-12-manhattan-ny-10075/26850065066815825/","27 E 79th St, Unit 11/12")</f>
        <v>27 E 79th St, Unit 11/12</v>
      </c>
      <c r="B76" s="2" t="str">
        <f>HYPERLINK("https://www.compass.com/building/27-e-79th-st-manhattan-ny-10075/282057858843965749/","27 E 79th St")</f>
        <v>27 E 79th St</v>
      </c>
      <c r="C76" s="1" t="s">
        <v>98</v>
      </c>
      <c r="D76" s="1" t="s">
        <v>41</v>
      </c>
      <c r="E76" s="3">
        <v>12750000</v>
      </c>
      <c r="F76" s="1">
        <v>4241.5169660678603</v>
      </c>
      <c r="G76" s="1">
        <v>7.5</v>
      </c>
      <c r="H76" s="1">
        <v>3</v>
      </c>
      <c r="I76" s="1">
        <v>6</v>
      </c>
      <c r="J76" s="1">
        <v>5.5</v>
      </c>
      <c r="K76" s="1">
        <v>5</v>
      </c>
      <c r="L76" s="1">
        <v>1</v>
      </c>
      <c r="M76" s="4">
        <v>3006</v>
      </c>
      <c r="N76" s="1">
        <v>8062</v>
      </c>
      <c r="O76" s="1">
        <v>10306</v>
      </c>
      <c r="P76" s="1">
        <v>2244</v>
      </c>
      <c r="Q76" s="1" t="s">
        <v>42</v>
      </c>
      <c r="S76" s="1" t="s">
        <v>42</v>
      </c>
      <c r="T76" s="1" t="s">
        <v>43</v>
      </c>
      <c r="U76" s="1">
        <v>494</v>
      </c>
      <c r="V76" s="5">
        <v>44420</v>
      </c>
      <c r="W76" s="5">
        <v>43839</v>
      </c>
      <c r="AB76" s="1" t="s">
        <v>44</v>
      </c>
      <c r="AF76" s="1">
        <v>10075</v>
      </c>
      <c r="AJ76" s="1">
        <v>2019</v>
      </c>
      <c r="AK76" s="1" t="s">
        <v>46</v>
      </c>
      <c r="AL76" s="1">
        <v>8</v>
      </c>
    </row>
    <row r="77" spans="1:38" x14ac:dyDescent="0.2">
      <c r="A77" s="2" t="str">
        <f>HYPERLINK("https://www.compass.com/listing/1325-5th-avenue-unit-2e-manhattan-ny-10029/831088030398279905/","1325 5th Ave, Unit 2E")</f>
        <v>1325 5th Ave, Unit 2E</v>
      </c>
      <c r="B77" s="2" t="str">
        <f>HYPERLINK("https://www.compass.com/building/the-fifth-avenue-manhattan-ny/294843719022876805/","The Fifth Avenue")</f>
        <v>The Fifth Avenue</v>
      </c>
      <c r="C77" s="1" t="s">
        <v>60</v>
      </c>
      <c r="D77" s="1" t="s">
        <v>41</v>
      </c>
      <c r="E77" s="3">
        <v>690000</v>
      </c>
      <c r="F77" s="1">
        <v>1073.09486780715</v>
      </c>
      <c r="G77" s="1">
        <v>3</v>
      </c>
      <c r="H77" s="1">
        <v>1</v>
      </c>
      <c r="I77" s="1">
        <v>1</v>
      </c>
      <c r="J77" s="1">
        <v>1</v>
      </c>
      <c r="K77" s="1">
        <v>1</v>
      </c>
      <c r="M77" s="1">
        <v>643</v>
      </c>
      <c r="N77" s="1">
        <v>644.41</v>
      </c>
      <c r="O77" s="1">
        <v>983.78</v>
      </c>
      <c r="P77" s="1">
        <v>339.33333333333297</v>
      </c>
      <c r="Q77" s="1" t="s">
        <v>42</v>
      </c>
      <c r="S77" s="1" t="s">
        <v>42</v>
      </c>
      <c r="T77" s="1" t="s">
        <v>43</v>
      </c>
      <c r="U77" s="1">
        <v>29</v>
      </c>
      <c r="V77" s="5">
        <v>44427</v>
      </c>
      <c r="W77" s="5">
        <v>44398</v>
      </c>
      <c r="X77" s="1">
        <v>690000</v>
      </c>
      <c r="AB77" s="1" t="s">
        <v>44</v>
      </c>
      <c r="AD77" s="1" t="s">
        <v>112</v>
      </c>
      <c r="AE77" s="1" t="s">
        <v>48</v>
      </c>
      <c r="AF77" s="1">
        <v>10029</v>
      </c>
      <c r="AI77" s="1" t="s">
        <v>113</v>
      </c>
      <c r="AJ77" s="1">
        <v>1989</v>
      </c>
      <c r="AK77" s="1" t="s">
        <v>46</v>
      </c>
      <c r="AL77" s="1">
        <v>71</v>
      </c>
    </row>
    <row r="78" spans="1:38" x14ac:dyDescent="0.2">
      <c r="A78" s="2" t="str">
        <f>HYPERLINK("https://www.compass.com/listing/368-3rd-avenue-unit-18a-manhattan-ny-10016/807152397353988401/","368 3rd Ave, Unit 18A")</f>
        <v>368 3rd Ave, Unit 18A</v>
      </c>
      <c r="B78" s="2" t="str">
        <f t="shared" ref="B78:B80" si="11">HYPERLINK("https://www.compass.com/building/vu-new-york-manhattan-ny/282062889668350181/","Vu New York")</f>
        <v>Vu New York</v>
      </c>
      <c r="C78" s="1" t="s">
        <v>93</v>
      </c>
      <c r="D78" s="1" t="s">
        <v>41</v>
      </c>
      <c r="E78" s="3">
        <v>1275000</v>
      </c>
      <c r="F78" s="1">
        <v>2093.5960591132998</v>
      </c>
      <c r="G78" s="1">
        <v>3</v>
      </c>
      <c r="H78" s="1">
        <v>1</v>
      </c>
      <c r="I78" s="1">
        <v>1</v>
      </c>
      <c r="J78" s="1">
        <v>1</v>
      </c>
      <c r="K78" s="1">
        <v>1</v>
      </c>
      <c r="M78" s="1">
        <v>609</v>
      </c>
      <c r="N78" s="1">
        <v>786</v>
      </c>
      <c r="O78" s="1">
        <v>1432</v>
      </c>
      <c r="P78" s="1">
        <v>646</v>
      </c>
      <c r="Q78" s="1" t="s">
        <v>42</v>
      </c>
      <c r="S78" s="1" t="s">
        <v>42</v>
      </c>
      <c r="T78" s="1" t="s">
        <v>43</v>
      </c>
      <c r="U78" s="1">
        <v>62</v>
      </c>
      <c r="V78" s="5">
        <v>44411</v>
      </c>
      <c r="W78" s="5">
        <v>44365</v>
      </c>
      <c r="X78" s="1">
        <v>1275000</v>
      </c>
      <c r="AB78" s="1" t="s">
        <v>44</v>
      </c>
      <c r="AF78" s="1">
        <v>10016</v>
      </c>
      <c r="AJ78" s="1">
        <v>2020</v>
      </c>
      <c r="AK78" s="1" t="s">
        <v>46</v>
      </c>
      <c r="AL78" s="1">
        <v>100</v>
      </c>
    </row>
    <row r="79" spans="1:38" x14ac:dyDescent="0.2">
      <c r="A79" s="2" t="str">
        <f>HYPERLINK("https://www.compass.com/listing/368-3rd-avenue-unit-14d-manhattan-ny-10016/807152617462322081/","368 3rd Ave, Unit 14D")</f>
        <v>368 3rd Ave, Unit 14D</v>
      </c>
      <c r="B79" s="2" t="str">
        <f t="shared" si="11"/>
        <v>Vu New York</v>
      </c>
      <c r="C79" s="1" t="s">
        <v>93</v>
      </c>
      <c r="D79" s="1" t="s">
        <v>41</v>
      </c>
      <c r="E79" s="3">
        <v>1350000</v>
      </c>
      <c r="F79" s="1">
        <v>2170.4180064308598</v>
      </c>
      <c r="G79" s="1">
        <v>3</v>
      </c>
      <c r="H79" s="1">
        <v>1</v>
      </c>
      <c r="I79" s="1">
        <v>1</v>
      </c>
      <c r="J79" s="1">
        <v>1</v>
      </c>
      <c r="K79" s="1">
        <v>1</v>
      </c>
      <c r="M79" s="1">
        <v>622</v>
      </c>
      <c r="N79" s="1">
        <v>803</v>
      </c>
      <c r="O79" s="1">
        <v>1463</v>
      </c>
      <c r="P79" s="1">
        <v>660</v>
      </c>
      <c r="Q79" s="1" t="s">
        <v>42</v>
      </c>
      <c r="S79" s="1" t="s">
        <v>42</v>
      </c>
      <c r="T79" s="1" t="s">
        <v>43</v>
      </c>
      <c r="U79" s="1">
        <v>62</v>
      </c>
      <c r="V79" s="5">
        <v>44411</v>
      </c>
      <c r="W79" s="5">
        <v>44365</v>
      </c>
      <c r="X79" s="1">
        <v>1350000</v>
      </c>
      <c r="AB79" s="1" t="s">
        <v>44</v>
      </c>
      <c r="AF79" s="1">
        <v>10016</v>
      </c>
      <c r="AJ79" s="1">
        <v>2020</v>
      </c>
      <c r="AK79" s="1" t="s">
        <v>46</v>
      </c>
      <c r="AL79" s="1">
        <v>100</v>
      </c>
    </row>
    <row r="80" spans="1:38" x14ac:dyDescent="0.2">
      <c r="A80" s="2" t="str">
        <f>HYPERLINK("https://www.compass.com/listing/368-3rd-avenue-unit-21b-manhattan-ny-10016/800760086460132001/","368 3rd Ave, Unit 21B")</f>
        <v>368 3rd Ave, Unit 21B</v>
      </c>
      <c r="B80" s="2" t="str">
        <f t="shared" si="11"/>
        <v>Vu New York</v>
      </c>
      <c r="C80" s="1" t="s">
        <v>93</v>
      </c>
      <c r="D80" s="1" t="s">
        <v>41</v>
      </c>
      <c r="E80" s="3">
        <v>2249500</v>
      </c>
      <c r="F80" s="1">
        <v>2256.2688064192498</v>
      </c>
      <c r="G80" s="1">
        <v>4</v>
      </c>
      <c r="H80" s="1">
        <v>2</v>
      </c>
      <c r="I80" s="1">
        <v>2</v>
      </c>
      <c r="J80" s="1">
        <v>2</v>
      </c>
      <c r="K80" s="1">
        <v>2</v>
      </c>
      <c r="M80" s="1">
        <v>997</v>
      </c>
      <c r="N80" s="1">
        <v>1287</v>
      </c>
      <c r="O80" s="1">
        <v>2345</v>
      </c>
      <c r="P80" s="1">
        <v>1058</v>
      </c>
      <c r="Q80" s="1" t="s">
        <v>42</v>
      </c>
      <c r="S80" s="1" t="s">
        <v>42</v>
      </c>
      <c r="T80" s="1" t="s">
        <v>43</v>
      </c>
      <c r="U80" s="1">
        <v>71</v>
      </c>
      <c r="V80" s="5">
        <v>44410</v>
      </c>
      <c r="W80" s="5">
        <v>44356</v>
      </c>
      <c r="X80" s="1">
        <v>2249500</v>
      </c>
      <c r="AB80" s="1" t="s">
        <v>44</v>
      </c>
      <c r="AF80" s="1">
        <v>10016</v>
      </c>
      <c r="AJ80" s="1">
        <v>2020</v>
      </c>
      <c r="AK80" s="1" t="s">
        <v>46</v>
      </c>
      <c r="AL80" s="1">
        <v>100</v>
      </c>
    </row>
    <row r="81" spans="1:38" x14ac:dyDescent="0.2">
      <c r="A81" s="2" t="str">
        <f>HYPERLINK("https://www.compass.com/listing/432-west-52nd-street-unit-5e-manhattan-ny-10019/811511417795958049/","432 W 52nd St, Unit 5E")</f>
        <v>432 W 52nd St, Unit 5E</v>
      </c>
      <c r="B81" s="2" t="str">
        <f>HYPERLINK("https://www.compass.com/building/432-w-52nd-st-manhattan-ny-10019/292847238378489941/","432 W 52nd St")</f>
        <v>432 W 52nd St</v>
      </c>
      <c r="C81" s="1" t="s">
        <v>67</v>
      </c>
      <c r="D81" s="1" t="s">
        <v>41</v>
      </c>
      <c r="E81" s="3">
        <v>665000</v>
      </c>
      <c r="G81" s="1">
        <v>2</v>
      </c>
      <c r="H81" s="1" t="s">
        <v>94</v>
      </c>
      <c r="I81" s="1">
        <v>1</v>
      </c>
      <c r="J81" s="1">
        <v>1</v>
      </c>
      <c r="K81" s="1">
        <v>1</v>
      </c>
      <c r="N81" s="1">
        <v>558</v>
      </c>
      <c r="O81" s="1">
        <v>1347</v>
      </c>
      <c r="P81" s="1">
        <v>789</v>
      </c>
      <c r="Q81" s="1" t="s">
        <v>114</v>
      </c>
      <c r="S81" s="1" t="s">
        <v>42</v>
      </c>
      <c r="T81" s="1" t="s">
        <v>43</v>
      </c>
      <c r="U81" s="1">
        <v>56</v>
      </c>
      <c r="V81" s="5">
        <v>44419</v>
      </c>
      <c r="W81" s="5">
        <v>44371</v>
      </c>
      <c r="X81" s="1">
        <v>665000</v>
      </c>
      <c r="AB81" s="1" t="s">
        <v>44</v>
      </c>
      <c r="AF81" s="1">
        <v>10019</v>
      </c>
      <c r="AI81" s="1" t="s">
        <v>113</v>
      </c>
      <c r="AJ81" s="1">
        <v>1950</v>
      </c>
      <c r="AK81" s="1" t="s">
        <v>69</v>
      </c>
      <c r="AL81" s="1">
        <v>55</v>
      </c>
    </row>
    <row r="82" spans="1:38" x14ac:dyDescent="0.2">
      <c r="A82" s="2" t="str">
        <f>HYPERLINK("https://www.compass.com/listing/368-3rd-avenue-unit-7c-manhattan-ny-10016/694958108548916177/","368 3rd Ave, Unit 7C")</f>
        <v>368 3rd Ave, Unit 7C</v>
      </c>
      <c r="B82" s="2" t="str">
        <f t="shared" ref="B82:B87" si="12">HYPERLINK("https://www.compass.com/building/vu-new-york-manhattan-ny/282062889668350181/","Vu New York")</f>
        <v>Vu New York</v>
      </c>
      <c r="C82" s="1" t="s">
        <v>93</v>
      </c>
      <c r="D82" s="1" t="s">
        <v>41</v>
      </c>
      <c r="E82" s="3">
        <v>1395000</v>
      </c>
      <c r="F82" s="1">
        <v>1821.1488250652701</v>
      </c>
      <c r="G82" s="1">
        <v>3</v>
      </c>
      <c r="H82" s="1">
        <v>1</v>
      </c>
      <c r="I82" s="1">
        <v>1</v>
      </c>
      <c r="J82" s="1">
        <v>1</v>
      </c>
      <c r="K82" s="1">
        <v>1</v>
      </c>
      <c r="M82" s="1">
        <v>766</v>
      </c>
      <c r="N82" s="1">
        <v>989</v>
      </c>
      <c r="O82" s="1">
        <v>1802</v>
      </c>
      <c r="P82" s="1">
        <v>813</v>
      </c>
      <c r="Q82" s="1" t="s">
        <v>42</v>
      </c>
      <c r="S82" s="1" t="s">
        <v>42</v>
      </c>
      <c r="T82" s="1" t="s">
        <v>43</v>
      </c>
      <c r="U82" s="1">
        <v>217</v>
      </c>
      <c r="V82" s="5">
        <v>44411</v>
      </c>
      <c r="W82" s="5">
        <v>44210</v>
      </c>
      <c r="X82" s="1">
        <v>1395000</v>
      </c>
      <c r="AB82" s="1" t="s">
        <v>44</v>
      </c>
      <c r="AF82" s="1">
        <v>10016</v>
      </c>
      <c r="AJ82" s="1">
        <v>2020</v>
      </c>
      <c r="AK82" s="1" t="s">
        <v>46</v>
      </c>
      <c r="AL82" s="1">
        <v>100</v>
      </c>
    </row>
    <row r="83" spans="1:38" x14ac:dyDescent="0.2">
      <c r="A83" s="2" t="str">
        <f>HYPERLINK("https://www.compass.com/listing/368-3rd-avenue-unit-4d-manhattan-ny-10016/694958150273768833/","368 3rd Ave, Unit 4D")</f>
        <v>368 3rd Ave, Unit 4D</v>
      </c>
      <c r="B83" s="2" t="str">
        <f t="shared" si="12"/>
        <v>Vu New York</v>
      </c>
      <c r="C83" s="1" t="s">
        <v>93</v>
      </c>
      <c r="D83" s="1" t="s">
        <v>41</v>
      </c>
      <c r="E83" s="3">
        <v>829000</v>
      </c>
      <c r="F83" s="1">
        <v>1654.69061876247</v>
      </c>
      <c r="G83" s="1">
        <v>2</v>
      </c>
      <c r="H83" s="1" t="s">
        <v>94</v>
      </c>
      <c r="I83" s="1">
        <v>1</v>
      </c>
      <c r="J83" s="1">
        <v>1</v>
      </c>
      <c r="K83" s="1">
        <v>1</v>
      </c>
      <c r="M83" s="1">
        <v>501</v>
      </c>
      <c r="N83" s="1">
        <v>647</v>
      </c>
      <c r="O83" s="1">
        <v>1178</v>
      </c>
      <c r="P83" s="1">
        <v>531</v>
      </c>
      <c r="Q83" s="1" t="s">
        <v>42</v>
      </c>
      <c r="S83" s="1" t="s">
        <v>42</v>
      </c>
      <c r="T83" s="1" t="s">
        <v>43</v>
      </c>
      <c r="U83" s="1">
        <v>217</v>
      </c>
      <c r="V83" s="5">
        <v>44410</v>
      </c>
      <c r="W83" s="5">
        <v>44210</v>
      </c>
      <c r="X83" s="1">
        <v>829000</v>
      </c>
      <c r="AB83" s="1" t="s">
        <v>44</v>
      </c>
      <c r="AF83" s="1">
        <v>10016</v>
      </c>
      <c r="AJ83" s="1">
        <v>2020</v>
      </c>
      <c r="AK83" s="1" t="s">
        <v>46</v>
      </c>
      <c r="AL83" s="1">
        <v>100</v>
      </c>
    </row>
    <row r="84" spans="1:38" x14ac:dyDescent="0.2">
      <c r="A84" s="2" t="str">
        <f>HYPERLINK("https://www.compass.com/listing/368-3rd-avenue-unit-3b-manhattan-ny-10016/694958084624603857/","368 3rd Ave, Unit 3B")</f>
        <v>368 3rd Ave, Unit 3B</v>
      </c>
      <c r="B84" s="2" t="str">
        <f t="shared" si="12"/>
        <v>Vu New York</v>
      </c>
      <c r="C84" s="1" t="s">
        <v>93</v>
      </c>
      <c r="D84" s="1" t="s">
        <v>41</v>
      </c>
      <c r="E84" s="3">
        <v>1855000</v>
      </c>
      <c r="F84" s="1">
        <v>1720.7792207792199</v>
      </c>
      <c r="G84" s="1">
        <v>4</v>
      </c>
      <c r="H84" s="1">
        <v>2</v>
      </c>
      <c r="I84" s="1">
        <v>2</v>
      </c>
      <c r="J84" s="1">
        <v>2</v>
      </c>
      <c r="K84" s="1">
        <v>2</v>
      </c>
      <c r="M84" s="4">
        <v>1078</v>
      </c>
      <c r="N84" s="1">
        <v>1392</v>
      </c>
      <c r="O84" s="1">
        <v>2536</v>
      </c>
      <c r="P84" s="1">
        <v>1144</v>
      </c>
      <c r="Q84" s="1" t="s">
        <v>42</v>
      </c>
      <c r="S84" s="1" t="s">
        <v>42</v>
      </c>
      <c r="T84" s="1" t="s">
        <v>43</v>
      </c>
      <c r="U84" s="1">
        <v>217</v>
      </c>
      <c r="V84" s="5">
        <v>44410</v>
      </c>
      <c r="W84" s="5">
        <v>44210</v>
      </c>
      <c r="X84" s="1">
        <v>1855000</v>
      </c>
      <c r="AB84" s="1" t="s">
        <v>44</v>
      </c>
      <c r="AF84" s="1">
        <v>10016</v>
      </c>
      <c r="AJ84" s="1">
        <v>2020</v>
      </c>
      <c r="AK84" s="1" t="s">
        <v>46</v>
      </c>
      <c r="AL84" s="1">
        <v>100</v>
      </c>
    </row>
    <row r="85" spans="1:38" x14ac:dyDescent="0.2">
      <c r="A85" s="2" t="str">
        <f>HYPERLINK("https://www.compass.com/listing/368-3rd-avenue-unit-15b-manhattan-ny-10016/694958127414949033/","368 3rd Ave, Unit 15B")</f>
        <v>368 3rd Ave, Unit 15B</v>
      </c>
      <c r="B85" s="2" t="str">
        <f t="shared" si="12"/>
        <v>Vu New York</v>
      </c>
      <c r="C85" s="1" t="s">
        <v>93</v>
      </c>
      <c r="D85" s="1" t="s">
        <v>41</v>
      </c>
      <c r="E85" s="3">
        <v>2099900</v>
      </c>
      <c r="F85" s="1">
        <v>2106.2186559678998</v>
      </c>
      <c r="G85" s="1">
        <v>4</v>
      </c>
      <c r="H85" s="1">
        <v>2</v>
      </c>
      <c r="I85" s="1">
        <v>2</v>
      </c>
      <c r="J85" s="1">
        <v>2</v>
      </c>
      <c r="K85" s="1">
        <v>2</v>
      </c>
      <c r="M85" s="1">
        <v>997</v>
      </c>
      <c r="N85" s="1">
        <v>1287</v>
      </c>
      <c r="O85" s="1">
        <v>2345</v>
      </c>
      <c r="P85" s="1">
        <v>1058</v>
      </c>
      <c r="Q85" s="1" t="s">
        <v>42</v>
      </c>
      <c r="S85" s="1" t="s">
        <v>42</v>
      </c>
      <c r="T85" s="1" t="s">
        <v>43</v>
      </c>
      <c r="U85" s="1">
        <v>217</v>
      </c>
      <c r="V85" s="5">
        <v>44410</v>
      </c>
      <c r="W85" s="5">
        <v>44210</v>
      </c>
      <c r="X85" s="1">
        <v>2125000</v>
      </c>
      <c r="AB85" s="1" t="s">
        <v>44</v>
      </c>
      <c r="AF85" s="1">
        <v>10016</v>
      </c>
      <c r="AJ85" s="1">
        <v>2020</v>
      </c>
      <c r="AK85" s="1" t="s">
        <v>46</v>
      </c>
      <c r="AL85" s="1">
        <v>100</v>
      </c>
    </row>
    <row r="86" spans="1:38" x14ac:dyDescent="0.2">
      <c r="A86" s="2" t="str">
        <f>HYPERLINK("https://www.compass.com/listing/368-3rd-avenue-unit-8a-manhattan-ny-10016/694958148696849961/","368 3rd Ave, Unit 8A")</f>
        <v>368 3rd Ave, Unit 8A</v>
      </c>
      <c r="B86" s="2" t="str">
        <f t="shared" si="12"/>
        <v>Vu New York</v>
      </c>
      <c r="C86" s="1" t="s">
        <v>93</v>
      </c>
      <c r="D86" s="1" t="s">
        <v>41</v>
      </c>
      <c r="E86" s="3">
        <v>2999500</v>
      </c>
      <c r="F86" s="1">
        <v>1841.3136893799799</v>
      </c>
      <c r="G86" s="1">
        <v>5</v>
      </c>
      <c r="H86" s="1">
        <v>3</v>
      </c>
      <c r="I86" s="1">
        <v>3</v>
      </c>
      <c r="J86" s="1">
        <v>2.5</v>
      </c>
      <c r="K86" s="1">
        <v>2</v>
      </c>
      <c r="L86" s="1">
        <v>1</v>
      </c>
      <c r="M86" s="4">
        <v>1629</v>
      </c>
      <c r="N86" s="1">
        <v>2103</v>
      </c>
      <c r="O86" s="1">
        <v>3831</v>
      </c>
      <c r="P86" s="1">
        <v>1728</v>
      </c>
      <c r="Q86" s="1" t="s">
        <v>42</v>
      </c>
      <c r="S86" s="1" t="s">
        <v>42</v>
      </c>
      <c r="T86" s="1" t="s">
        <v>43</v>
      </c>
      <c r="U86" s="1">
        <v>217</v>
      </c>
      <c r="V86" s="5">
        <v>44411</v>
      </c>
      <c r="W86" s="5">
        <v>44210</v>
      </c>
      <c r="X86" s="1">
        <v>2999500</v>
      </c>
      <c r="AB86" s="1" t="s">
        <v>44</v>
      </c>
      <c r="AF86" s="1">
        <v>10016</v>
      </c>
      <c r="AJ86" s="1">
        <v>2020</v>
      </c>
      <c r="AK86" s="1" t="s">
        <v>46</v>
      </c>
      <c r="AL86" s="1">
        <v>100</v>
      </c>
    </row>
    <row r="87" spans="1:38" x14ac:dyDescent="0.2">
      <c r="A87" s="2" t="str">
        <f>HYPERLINK("https://www.compass.com/listing/368-3rd-avenue-unit-10a-manhattan-ny-10016/694958085715122929/","368 3rd Ave, Unit 10A")</f>
        <v>368 3rd Ave, Unit 10A</v>
      </c>
      <c r="B87" s="2" t="str">
        <f t="shared" si="12"/>
        <v>Vu New York</v>
      </c>
      <c r="C87" s="1" t="s">
        <v>93</v>
      </c>
      <c r="D87" s="1" t="s">
        <v>41</v>
      </c>
      <c r="E87" s="3">
        <v>3499900</v>
      </c>
      <c r="F87" s="1">
        <v>2183.3437305052998</v>
      </c>
      <c r="G87" s="1">
        <v>5</v>
      </c>
      <c r="H87" s="1">
        <v>3</v>
      </c>
      <c r="I87" s="1">
        <v>4</v>
      </c>
      <c r="J87" s="1">
        <v>3.5</v>
      </c>
      <c r="K87" s="1">
        <v>3</v>
      </c>
      <c r="L87" s="1">
        <v>1</v>
      </c>
      <c r="M87" s="4">
        <v>1603</v>
      </c>
      <c r="N87" s="1">
        <v>2227</v>
      </c>
      <c r="O87" s="1">
        <v>4057</v>
      </c>
      <c r="P87" s="1">
        <v>1830</v>
      </c>
      <c r="Q87" s="1" t="s">
        <v>42</v>
      </c>
      <c r="S87" s="1" t="s">
        <v>42</v>
      </c>
      <c r="T87" s="1" t="s">
        <v>43</v>
      </c>
      <c r="U87" s="1">
        <v>217</v>
      </c>
      <c r="V87" s="5">
        <v>44411</v>
      </c>
      <c r="W87" s="5">
        <v>44210</v>
      </c>
      <c r="X87" s="1">
        <v>3499900</v>
      </c>
      <c r="AB87" s="1" t="s">
        <v>44</v>
      </c>
      <c r="AF87" s="1">
        <v>10016</v>
      </c>
      <c r="AI87" s="1" t="s">
        <v>115</v>
      </c>
      <c r="AJ87" s="1">
        <v>2020</v>
      </c>
      <c r="AK87" s="1" t="s">
        <v>46</v>
      </c>
      <c r="AL87" s="1">
        <v>100</v>
      </c>
    </row>
    <row r="88" spans="1:38" x14ac:dyDescent="0.2">
      <c r="A88" s="2" t="str">
        <f>HYPERLINK("https://www.compass.com/listing/575-main-street-unit-903-manhattan-ny-10044/830654237723774425/","575 Main St, Unit 903")</f>
        <v>575 Main St, Unit 903</v>
      </c>
      <c r="B88" s="2" t="str">
        <f>HYPERLINK("https://www.compass.com/building/island-house-manhattan-ny/282065365649887429/","Island House")</f>
        <v>Island House</v>
      </c>
      <c r="C88" s="1" t="s">
        <v>116</v>
      </c>
      <c r="D88" s="1" t="s">
        <v>41</v>
      </c>
      <c r="E88" s="3">
        <v>940000</v>
      </c>
      <c r="G88" s="1">
        <v>5</v>
      </c>
      <c r="H88" s="1">
        <v>2</v>
      </c>
      <c r="I88" s="1">
        <v>2</v>
      </c>
      <c r="J88" s="1">
        <v>2</v>
      </c>
      <c r="K88" s="1">
        <v>2</v>
      </c>
      <c r="N88" s="1">
        <v>1090</v>
      </c>
      <c r="O88" s="1">
        <v>1090</v>
      </c>
      <c r="Q88" s="1" t="s">
        <v>117</v>
      </c>
      <c r="S88" s="1" t="s">
        <v>117</v>
      </c>
      <c r="T88" s="1" t="s">
        <v>43</v>
      </c>
      <c r="U88" s="1">
        <v>30</v>
      </c>
      <c r="V88" s="5">
        <v>44426</v>
      </c>
      <c r="W88" s="5">
        <v>44397</v>
      </c>
      <c r="X88" s="1">
        <v>940000</v>
      </c>
      <c r="AB88" s="1" t="s">
        <v>44</v>
      </c>
      <c r="AD88" s="1" t="s">
        <v>118</v>
      </c>
      <c r="AE88" s="1" t="s">
        <v>48</v>
      </c>
      <c r="AF88" s="1">
        <v>10044</v>
      </c>
      <c r="AI88" s="1" t="s">
        <v>119</v>
      </c>
      <c r="AJ88" s="1">
        <v>1975</v>
      </c>
      <c r="AK88" s="1" t="s">
        <v>86</v>
      </c>
      <c r="AL88" s="1">
        <v>400</v>
      </c>
    </row>
    <row r="89" spans="1:38" x14ac:dyDescent="0.2">
      <c r="A89" s="2" t="str">
        <f>HYPERLINK("https://www.compass.com/listing/543-west-122nd-street-unit-17g-manhattan-ny-10027/563722655696586329/","543 W 122nd St, Unit 17G")</f>
        <v>543 W 122nd St, Unit 17G</v>
      </c>
      <c r="B89" s="2" t="str">
        <f>HYPERLINK("https://www.compass.com/building/vandewater-manhattan-ny/282058681657361477/","Vandewater")</f>
        <v>Vandewater</v>
      </c>
      <c r="C89" s="1" t="s">
        <v>95</v>
      </c>
      <c r="D89" s="1" t="s">
        <v>41</v>
      </c>
      <c r="E89" s="3">
        <v>3250000</v>
      </c>
      <c r="F89" s="1">
        <v>1767.2648178357799</v>
      </c>
      <c r="G89" s="1">
        <v>5</v>
      </c>
      <c r="H89" s="1">
        <v>3</v>
      </c>
      <c r="I89" s="1">
        <v>3</v>
      </c>
      <c r="J89" s="1">
        <v>2.5</v>
      </c>
      <c r="K89" s="1">
        <v>2</v>
      </c>
      <c r="L89" s="1">
        <v>1</v>
      </c>
      <c r="M89" s="4">
        <v>1839</v>
      </c>
      <c r="N89" s="1">
        <v>1829</v>
      </c>
      <c r="O89" s="1">
        <v>4023</v>
      </c>
      <c r="P89" s="1">
        <v>2194</v>
      </c>
      <c r="Q89" s="1" t="s">
        <v>42</v>
      </c>
      <c r="S89" s="1" t="s">
        <v>42</v>
      </c>
      <c r="T89" s="1" t="s">
        <v>43</v>
      </c>
      <c r="U89" s="1">
        <v>43</v>
      </c>
      <c r="V89" s="5">
        <v>44421</v>
      </c>
      <c r="W89" s="5">
        <v>44384</v>
      </c>
      <c r="X89" s="1">
        <v>3250000</v>
      </c>
      <c r="AB89" s="1" t="s">
        <v>44</v>
      </c>
      <c r="AF89" s="1">
        <v>10027</v>
      </c>
      <c r="AI89" s="1" t="s">
        <v>120</v>
      </c>
      <c r="AJ89" s="1">
        <v>2019</v>
      </c>
      <c r="AK89" s="1" t="s">
        <v>46</v>
      </c>
      <c r="AL89" s="1">
        <v>183</v>
      </c>
    </row>
    <row r="90" spans="1:38" x14ac:dyDescent="0.2">
      <c r="A90" s="2" t="str">
        <f>HYPERLINK("https://www.compass.com/listing/432-west-52nd-street-unit-5g-manhattan-ny-10019/609356094778947129/","432 W 52nd St, Unit 5G")</f>
        <v>432 W 52nd St, Unit 5G</v>
      </c>
      <c r="B90" s="2" t="str">
        <f>HYPERLINK("https://www.compass.com/building/432-w-52nd-st-manhattan-ny-10019/292847238378489941/","432 W 52nd St")</f>
        <v>432 W 52nd St</v>
      </c>
      <c r="C90" s="1" t="s">
        <v>67</v>
      </c>
      <c r="D90" s="1" t="s">
        <v>41</v>
      </c>
      <c r="E90" s="3">
        <v>995000</v>
      </c>
      <c r="F90" s="1">
        <v>1554.6875</v>
      </c>
      <c r="G90" s="1">
        <v>2</v>
      </c>
      <c r="H90" s="1">
        <v>1</v>
      </c>
      <c r="I90" s="1">
        <v>1</v>
      </c>
      <c r="J90" s="1">
        <v>1</v>
      </c>
      <c r="K90" s="1">
        <v>1</v>
      </c>
      <c r="M90" s="1">
        <v>640</v>
      </c>
      <c r="N90" s="1">
        <v>820</v>
      </c>
      <c r="O90" s="1">
        <v>820</v>
      </c>
      <c r="Q90" s="1" t="s">
        <v>42</v>
      </c>
      <c r="S90" s="1" t="s">
        <v>42</v>
      </c>
      <c r="T90" s="1" t="s">
        <v>43</v>
      </c>
      <c r="U90" s="1">
        <v>209</v>
      </c>
      <c r="V90" s="5">
        <v>44427</v>
      </c>
      <c r="W90" s="5">
        <v>44218</v>
      </c>
      <c r="AB90" s="1" t="s">
        <v>44</v>
      </c>
      <c r="AF90" s="1">
        <v>10019</v>
      </c>
      <c r="AI90" s="1" t="s">
        <v>55</v>
      </c>
      <c r="AJ90" s="1">
        <v>1950</v>
      </c>
      <c r="AK90" s="1" t="s">
        <v>121</v>
      </c>
      <c r="AL90" s="1">
        <v>55</v>
      </c>
    </row>
    <row r="91" spans="1:38" x14ac:dyDescent="0.2">
      <c r="A91" s="2" t="str">
        <f>HYPERLINK("https://www.compass.com/listing/425-west-50th-street-unit-12h-manhattan-ny-10019/769436893813504153/","425 W 50th St, Unit 12H")</f>
        <v>425 W 50th St, Unit 12H</v>
      </c>
      <c r="B91" s="2" t="str">
        <f>HYPERLINK("https://www.compass.com/building/stella-tower-manhattan-ny/281945855710262181/","Stella Tower")</f>
        <v>Stella Tower</v>
      </c>
      <c r="C91" s="1" t="s">
        <v>67</v>
      </c>
      <c r="D91" s="1" t="s">
        <v>41</v>
      </c>
      <c r="E91" s="3">
        <v>3250000</v>
      </c>
      <c r="F91" s="1">
        <v>1755.8076715289001</v>
      </c>
      <c r="G91" s="1">
        <v>4</v>
      </c>
      <c r="H91" s="1">
        <v>2</v>
      </c>
      <c r="I91" s="1">
        <v>3</v>
      </c>
      <c r="J91" s="1">
        <v>2.5</v>
      </c>
      <c r="K91" s="1">
        <v>2</v>
      </c>
      <c r="L91" s="1">
        <v>1</v>
      </c>
      <c r="M91" s="4">
        <v>1851</v>
      </c>
      <c r="N91" s="1">
        <v>3214</v>
      </c>
      <c r="O91" s="1">
        <v>6057</v>
      </c>
      <c r="P91" s="1">
        <v>2843</v>
      </c>
      <c r="Q91" s="1" t="s">
        <v>42</v>
      </c>
      <c r="S91" s="1" t="s">
        <v>42</v>
      </c>
      <c r="T91" s="1" t="s">
        <v>43</v>
      </c>
      <c r="U91" s="1">
        <v>113</v>
      </c>
      <c r="V91" s="5">
        <v>44424</v>
      </c>
      <c r="W91" s="5">
        <v>44313</v>
      </c>
      <c r="X91" s="1">
        <v>3595000</v>
      </c>
      <c r="AB91" s="1" t="s">
        <v>44</v>
      </c>
      <c r="AF91" s="1">
        <v>10019</v>
      </c>
      <c r="AI91" s="1" t="s">
        <v>45</v>
      </c>
      <c r="AJ91" s="1">
        <v>1930</v>
      </c>
      <c r="AK91" s="1" t="s">
        <v>46</v>
      </c>
      <c r="AL91" s="1">
        <v>51</v>
      </c>
    </row>
    <row r="92" spans="1:38" x14ac:dyDescent="0.2">
      <c r="A92" s="2" t="str">
        <f>HYPERLINK("https://www.compass.com/listing/69-bennett-avenue-unit-104-manhattan-ny-10033/461727397709425889/","69 Bennett Ave, Unit 104")</f>
        <v>69 Bennett Ave, Unit 104</v>
      </c>
      <c r="B92" s="2" t="str">
        <f>HYPERLINK("https://www.compass.com/building/69-bennett-ave-manhattan-ny-10033/282013522349526869/","69 Bennett Ave")</f>
        <v>69 Bennett Ave</v>
      </c>
      <c r="C92" s="1" t="s">
        <v>122</v>
      </c>
      <c r="D92" s="1" t="s">
        <v>41</v>
      </c>
      <c r="E92" s="3">
        <v>460000</v>
      </c>
      <c r="F92" s="1">
        <v>636.23789764868604</v>
      </c>
      <c r="G92" s="1">
        <v>3</v>
      </c>
      <c r="H92" s="1">
        <v>1</v>
      </c>
      <c r="I92" s="1">
        <v>1</v>
      </c>
      <c r="J92" s="1">
        <v>1</v>
      </c>
      <c r="K92" s="1">
        <v>1</v>
      </c>
      <c r="M92" s="1">
        <v>723</v>
      </c>
      <c r="N92" s="1">
        <v>495</v>
      </c>
      <c r="O92" s="1">
        <v>875</v>
      </c>
      <c r="P92" s="1">
        <v>380</v>
      </c>
      <c r="Q92" s="1" t="s">
        <v>114</v>
      </c>
      <c r="S92" s="1" t="s">
        <v>42</v>
      </c>
      <c r="T92" s="1" t="s">
        <v>43</v>
      </c>
      <c r="U92" s="1">
        <v>107</v>
      </c>
      <c r="V92" s="5">
        <v>44427</v>
      </c>
      <c r="W92" s="5">
        <v>44320</v>
      </c>
      <c r="AB92" s="1" t="s">
        <v>44</v>
      </c>
      <c r="AD92" s="1" t="s">
        <v>83</v>
      </c>
      <c r="AE92" s="1" t="s">
        <v>48</v>
      </c>
      <c r="AF92" s="1">
        <v>10033</v>
      </c>
      <c r="AJ92" s="1">
        <v>1954</v>
      </c>
      <c r="AL92" s="1">
        <v>60</v>
      </c>
    </row>
    <row r="93" spans="1:38" x14ac:dyDescent="0.2">
      <c r="A93" s="2" t="str">
        <f>HYPERLINK("https://www.compass.com/listing/424-west-52nd-street-unit-2-manhattan-ny-10019/613040741646038025/","424 W 52nd St, Unit 2")</f>
        <v>424 W 52nd St, Unit 2</v>
      </c>
      <c r="B93" s="2" t="str">
        <f t="shared" ref="B93:B94" si="13">HYPERLINK("https://www.compass.com/building/424-w-52nd-st-manhattan-ny-10019/293533825726707925/","424 W 52nd St")</f>
        <v>424 W 52nd St</v>
      </c>
      <c r="C93" s="1" t="s">
        <v>67</v>
      </c>
      <c r="D93" s="1" t="s">
        <v>41</v>
      </c>
      <c r="E93" s="3">
        <v>1949000</v>
      </c>
      <c r="F93" s="1">
        <v>1521.4676034348099</v>
      </c>
      <c r="G93" s="1">
        <v>4</v>
      </c>
      <c r="H93" s="1">
        <v>2</v>
      </c>
      <c r="I93" s="1">
        <v>2</v>
      </c>
      <c r="J93" s="1">
        <v>2</v>
      </c>
      <c r="K93" s="1">
        <v>2</v>
      </c>
      <c r="M93" s="4">
        <v>1281</v>
      </c>
      <c r="N93" s="1">
        <v>473</v>
      </c>
      <c r="O93" s="1">
        <v>1981</v>
      </c>
      <c r="P93" s="1">
        <v>1508</v>
      </c>
      <c r="Q93" s="1" t="s">
        <v>42</v>
      </c>
      <c r="S93" s="1" t="s">
        <v>42</v>
      </c>
      <c r="T93" s="1" t="s">
        <v>43</v>
      </c>
      <c r="U93" s="1">
        <v>282</v>
      </c>
      <c r="V93" s="5">
        <v>44426</v>
      </c>
      <c r="W93" s="5">
        <v>44096</v>
      </c>
      <c r="X93" s="1">
        <v>1949000</v>
      </c>
      <c r="AB93" s="1" t="s">
        <v>44</v>
      </c>
      <c r="AD93" s="1" t="s">
        <v>123</v>
      </c>
      <c r="AE93" s="1" t="s">
        <v>48</v>
      </c>
      <c r="AF93" s="1">
        <v>10019</v>
      </c>
      <c r="AI93" s="1" t="s">
        <v>55</v>
      </c>
      <c r="AJ93" s="1">
        <v>1998</v>
      </c>
      <c r="AK93" s="1" t="s">
        <v>124</v>
      </c>
      <c r="AL93" s="1">
        <v>2</v>
      </c>
    </row>
    <row r="94" spans="1:38" x14ac:dyDescent="0.2">
      <c r="A94" s="2" t="str">
        <f>HYPERLINK("https://www.compass.com/listing/424-west-52nd-street-unit-4-manhattan-ny-10019/612312360071344057/","424 W 52nd St, Unit 4")</f>
        <v>424 W 52nd St, Unit 4</v>
      </c>
      <c r="B94" s="2" t="str">
        <f t="shared" si="13"/>
        <v>424 W 52nd St</v>
      </c>
      <c r="C94" s="1" t="s">
        <v>67</v>
      </c>
      <c r="D94" s="1" t="s">
        <v>41</v>
      </c>
      <c r="E94" s="3">
        <v>2150000</v>
      </c>
      <c r="F94" s="1">
        <v>1628.7878787878701</v>
      </c>
      <c r="G94" s="1">
        <v>4</v>
      </c>
      <c r="H94" s="1">
        <v>2</v>
      </c>
      <c r="I94" s="1">
        <v>2</v>
      </c>
      <c r="J94" s="1">
        <v>2</v>
      </c>
      <c r="K94" s="1">
        <v>2</v>
      </c>
      <c r="M94" s="4">
        <v>1320</v>
      </c>
      <c r="N94" s="1">
        <v>506</v>
      </c>
      <c r="O94" s="1">
        <v>2119</v>
      </c>
      <c r="P94" s="1">
        <v>1613</v>
      </c>
      <c r="Q94" s="1" t="s">
        <v>42</v>
      </c>
      <c r="S94" s="1" t="s">
        <v>42</v>
      </c>
      <c r="T94" s="1" t="s">
        <v>43</v>
      </c>
      <c r="U94" s="1">
        <v>222</v>
      </c>
      <c r="V94" s="5">
        <v>44426</v>
      </c>
      <c r="W94" s="5">
        <v>44095</v>
      </c>
      <c r="X94" s="1">
        <v>2259000</v>
      </c>
      <c r="AB94" s="1" t="s">
        <v>44</v>
      </c>
      <c r="AD94" s="1" t="s">
        <v>123</v>
      </c>
      <c r="AE94" s="1" t="s">
        <v>48</v>
      </c>
      <c r="AF94" s="1">
        <v>10019</v>
      </c>
      <c r="AI94" s="1" t="s">
        <v>125</v>
      </c>
      <c r="AJ94" s="1">
        <v>1998</v>
      </c>
      <c r="AK94" s="1" t="s">
        <v>124</v>
      </c>
      <c r="AL94" s="1">
        <v>2</v>
      </c>
    </row>
    <row r="95" spans="1:38" x14ac:dyDescent="0.2">
      <c r="A95" s="2" t="str">
        <f>HYPERLINK("https://www.compass.com/listing/52-convent-avenue-unit-2a-manhattan-ny-10027/760708643223513129/","52 Convent Ave, Unit 2A")</f>
        <v>52 Convent Ave, Unit 2A</v>
      </c>
      <c r="B95" s="2" t="str">
        <f>HYPERLINK("https://www.compass.com/building/52-convent-avenue-manhattan-ny/292889753865529749/","52 Convent Avenue ")</f>
        <v xml:space="preserve">52 Convent Avenue </v>
      </c>
      <c r="C95" s="1" t="s">
        <v>126</v>
      </c>
      <c r="D95" s="1" t="s">
        <v>41</v>
      </c>
      <c r="E95" s="3">
        <v>959000</v>
      </c>
      <c r="F95" s="1">
        <v>1013.7420718816001</v>
      </c>
      <c r="G95" s="1">
        <v>4</v>
      </c>
      <c r="H95" s="1">
        <v>2</v>
      </c>
      <c r="I95" s="1">
        <v>2</v>
      </c>
      <c r="J95" s="1">
        <v>2</v>
      </c>
      <c r="K95" s="1">
        <v>2</v>
      </c>
      <c r="M95" s="1">
        <v>946</v>
      </c>
      <c r="N95" s="1">
        <v>609</v>
      </c>
      <c r="O95" s="1">
        <v>1071</v>
      </c>
      <c r="P95" s="1">
        <v>462</v>
      </c>
      <c r="Q95" s="1" t="s">
        <v>42</v>
      </c>
      <c r="S95" s="1" t="s">
        <v>42</v>
      </c>
      <c r="T95" s="1" t="s">
        <v>43</v>
      </c>
      <c r="U95" s="1">
        <v>126</v>
      </c>
      <c r="V95" s="5">
        <v>44427</v>
      </c>
      <c r="W95" s="5">
        <v>44301</v>
      </c>
      <c r="X95" s="1">
        <v>1038000</v>
      </c>
      <c r="AB95" s="1" t="s">
        <v>44</v>
      </c>
      <c r="AD95" s="1" t="s">
        <v>127</v>
      </c>
      <c r="AE95" s="1" t="s">
        <v>90</v>
      </c>
      <c r="AF95" s="1">
        <v>10027</v>
      </c>
      <c r="AI95" s="1" t="s">
        <v>128</v>
      </c>
      <c r="AJ95" s="1">
        <v>2018</v>
      </c>
      <c r="AK95" s="1" t="s">
        <v>86</v>
      </c>
      <c r="AL95" s="1">
        <v>17</v>
      </c>
    </row>
    <row r="96" spans="1:38" x14ac:dyDescent="0.2">
      <c r="A96" s="2" t="str">
        <f>HYPERLINK("https://www.compass.com/listing/105-bennett-avenue-unit-55a-manhattan-ny-10033/784755854262618481/","105 Bennett Ave, Unit 55A")</f>
        <v>105 Bennett Ave, Unit 55A</v>
      </c>
      <c r="B96" s="2" t="str">
        <f>HYPERLINK("https://www.compass.com/building/105-bennett-ave-manhattan-ny-10033/282010034911706389/","105 Bennett Ave")</f>
        <v>105 Bennett Ave</v>
      </c>
      <c r="C96" s="1" t="s">
        <v>122</v>
      </c>
      <c r="D96" s="1" t="s">
        <v>41</v>
      </c>
      <c r="E96" s="3">
        <v>850000</v>
      </c>
      <c r="F96" s="1">
        <v>567.80227120908398</v>
      </c>
      <c r="G96" s="1">
        <v>5</v>
      </c>
      <c r="H96" s="1">
        <v>3</v>
      </c>
      <c r="I96" s="1">
        <v>1</v>
      </c>
      <c r="J96" s="1">
        <v>1</v>
      </c>
      <c r="K96" s="1">
        <v>1</v>
      </c>
      <c r="M96" s="4">
        <v>1497</v>
      </c>
      <c r="N96" s="1">
        <v>984</v>
      </c>
      <c r="O96" s="1">
        <v>1628</v>
      </c>
      <c r="P96" s="1">
        <v>644</v>
      </c>
      <c r="Q96" s="1" t="s">
        <v>114</v>
      </c>
      <c r="S96" s="1" t="s">
        <v>42</v>
      </c>
      <c r="T96" s="1" t="s">
        <v>43</v>
      </c>
      <c r="U96" s="1">
        <v>92</v>
      </c>
      <c r="V96" s="5">
        <v>44427</v>
      </c>
      <c r="W96" s="5">
        <v>44335</v>
      </c>
      <c r="X96" s="1">
        <v>850000</v>
      </c>
      <c r="AB96" s="1" t="s">
        <v>44</v>
      </c>
      <c r="AD96" s="1" t="s">
        <v>83</v>
      </c>
      <c r="AE96" s="1" t="s">
        <v>48</v>
      </c>
      <c r="AF96" s="1">
        <v>10033</v>
      </c>
      <c r="AJ96" s="1">
        <v>1939</v>
      </c>
      <c r="AL96" s="1">
        <v>65</v>
      </c>
    </row>
    <row r="97" spans="1:38" x14ac:dyDescent="0.2">
      <c r="A97" s="2" t="str">
        <f>HYPERLINK("https://www.compass.com/listing/1325-5th-avenue-unit-6b-manhattan-ny-10029/723893234107726233/","1325 5th Ave, Unit 6B")</f>
        <v>1325 5th Ave, Unit 6B</v>
      </c>
      <c r="B97" s="2" t="str">
        <f>HYPERLINK("https://www.compass.com/building/the-fifth-avenue-manhattan-ny/294843719022876805/","The Fifth Avenue")</f>
        <v>The Fifth Avenue</v>
      </c>
      <c r="C97" s="1" t="s">
        <v>60</v>
      </c>
      <c r="D97" s="1" t="s">
        <v>41</v>
      </c>
      <c r="E97" s="3">
        <v>1125000</v>
      </c>
      <c r="F97" s="1">
        <v>1019.02173913043</v>
      </c>
      <c r="G97" s="1">
        <v>5</v>
      </c>
      <c r="H97" s="1">
        <v>2</v>
      </c>
      <c r="I97" s="1">
        <v>2</v>
      </c>
      <c r="J97" s="1">
        <v>2</v>
      </c>
      <c r="K97" s="1">
        <v>2</v>
      </c>
      <c r="M97" s="4">
        <v>1104</v>
      </c>
      <c r="N97" s="1">
        <v>1352.29</v>
      </c>
      <c r="O97" s="1">
        <v>2031.05</v>
      </c>
      <c r="P97" s="1">
        <v>678.75</v>
      </c>
      <c r="Q97" s="1" t="s">
        <v>42</v>
      </c>
      <c r="S97" s="1" t="s">
        <v>42</v>
      </c>
      <c r="T97" s="1" t="s">
        <v>43</v>
      </c>
      <c r="U97" s="1">
        <v>177</v>
      </c>
      <c r="V97" s="5">
        <v>44413</v>
      </c>
      <c r="W97" s="5">
        <v>44250</v>
      </c>
      <c r="X97" s="1">
        <v>1125000</v>
      </c>
      <c r="AB97" s="1" t="s">
        <v>44</v>
      </c>
      <c r="AF97" s="1">
        <v>10029</v>
      </c>
      <c r="AI97" s="1" t="s">
        <v>113</v>
      </c>
      <c r="AJ97" s="1">
        <v>1989</v>
      </c>
      <c r="AK97" s="1" t="s">
        <v>46</v>
      </c>
      <c r="AL97" s="1">
        <v>71</v>
      </c>
    </row>
    <row r="98" spans="1:38" x14ac:dyDescent="0.2">
      <c r="A98" s="2" t="str">
        <f>HYPERLINK("https://www.compass.com/listing/69-bennett-avenue-unit-501a-manhattan-ny-10033/775413851253829025/","69 Bennett Ave, Unit 501A")</f>
        <v>69 Bennett Ave, Unit 501A</v>
      </c>
      <c r="B98" s="2" t="str">
        <f t="shared" ref="B98:B100" si="14">HYPERLINK("https://www.compass.com/building/69-bennett-ave-manhattan-ny-10033/282013522349526869/","69 Bennett Ave")</f>
        <v>69 Bennett Ave</v>
      </c>
      <c r="C98" s="1" t="s">
        <v>122</v>
      </c>
      <c r="D98" s="1" t="s">
        <v>41</v>
      </c>
      <c r="E98" s="3">
        <v>445000</v>
      </c>
      <c r="G98" s="1">
        <v>3</v>
      </c>
      <c r="H98" s="1">
        <v>1</v>
      </c>
      <c r="I98" s="1">
        <v>1</v>
      </c>
      <c r="J98" s="1">
        <v>1</v>
      </c>
      <c r="K98" s="1">
        <v>1</v>
      </c>
      <c r="N98" s="1">
        <v>410</v>
      </c>
      <c r="O98" s="1">
        <v>585</v>
      </c>
      <c r="P98" s="1">
        <v>175</v>
      </c>
      <c r="S98" s="1" t="s">
        <v>42</v>
      </c>
      <c r="T98" s="1" t="s">
        <v>43</v>
      </c>
      <c r="U98" s="1">
        <v>106</v>
      </c>
      <c r="V98" s="5">
        <v>44422</v>
      </c>
      <c r="W98" s="5">
        <v>44320</v>
      </c>
      <c r="X98" s="1">
        <v>459000</v>
      </c>
      <c r="AB98" s="1" t="s">
        <v>44</v>
      </c>
      <c r="AF98" s="1">
        <v>10033</v>
      </c>
      <c r="AJ98" s="1">
        <v>1954</v>
      </c>
      <c r="AL98" s="1">
        <v>60</v>
      </c>
    </row>
    <row r="99" spans="1:38" x14ac:dyDescent="0.2">
      <c r="A99" s="2" t="str">
        <f>HYPERLINK("https://www.compass.com/listing/69-bennett-avenue-unit-501-manhattan-ny-10033/801621568509849553/","69 Bennett Ave, Unit 501")</f>
        <v>69 Bennett Ave, Unit 501</v>
      </c>
      <c r="B99" s="2" t="str">
        <f t="shared" si="14"/>
        <v>69 Bennett Ave</v>
      </c>
      <c r="C99" s="1" t="s">
        <v>122</v>
      </c>
      <c r="D99" s="1" t="s">
        <v>41</v>
      </c>
      <c r="E99" s="3">
        <v>449000</v>
      </c>
      <c r="G99" s="1">
        <v>3</v>
      </c>
      <c r="H99" s="1">
        <v>1</v>
      </c>
      <c r="I99" s="1">
        <v>2</v>
      </c>
      <c r="J99" s="1">
        <v>1.5</v>
      </c>
      <c r="K99" s="1">
        <v>1</v>
      </c>
      <c r="L99" s="1">
        <v>1</v>
      </c>
      <c r="N99" s="1">
        <v>410</v>
      </c>
      <c r="O99" s="1">
        <v>585</v>
      </c>
      <c r="P99" s="1">
        <v>175</v>
      </c>
      <c r="Q99" s="1" t="s">
        <v>42</v>
      </c>
      <c r="S99" s="1" t="s">
        <v>42</v>
      </c>
      <c r="T99" s="1" t="s">
        <v>43</v>
      </c>
      <c r="U99" s="1">
        <v>222</v>
      </c>
      <c r="V99" s="5">
        <v>44427</v>
      </c>
      <c r="W99" s="5">
        <v>44205</v>
      </c>
      <c r="X99" s="1">
        <v>479000</v>
      </c>
      <c r="AB99" s="1" t="s">
        <v>44</v>
      </c>
      <c r="AF99" s="1">
        <v>10033</v>
      </c>
      <c r="AJ99" s="1">
        <v>1954</v>
      </c>
      <c r="AL99" s="1">
        <v>60</v>
      </c>
    </row>
    <row r="100" spans="1:38" x14ac:dyDescent="0.2">
      <c r="A100" s="2" t="str">
        <f>HYPERLINK("https://www.compass.com/listing/69-bennett-avenue-unit-301-manhattan-ny-10033/602227055415155185/","69 Bennett Ave, Unit 301")</f>
        <v>69 Bennett Ave, Unit 301</v>
      </c>
      <c r="B100" s="2" t="str">
        <f t="shared" si="14"/>
        <v>69 Bennett Ave</v>
      </c>
      <c r="C100" s="1" t="s">
        <v>122</v>
      </c>
      <c r="D100" s="1" t="s">
        <v>41</v>
      </c>
      <c r="E100" s="3">
        <v>449000</v>
      </c>
      <c r="G100" s="1">
        <v>3</v>
      </c>
      <c r="H100" s="1">
        <v>1</v>
      </c>
      <c r="I100" s="1">
        <v>1</v>
      </c>
      <c r="J100" s="1">
        <v>1</v>
      </c>
      <c r="K100" s="1">
        <v>1</v>
      </c>
      <c r="N100" s="1">
        <v>400</v>
      </c>
      <c r="O100" s="1">
        <v>625</v>
      </c>
      <c r="P100" s="1">
        <v>225</v>
      </c>
      <c r="Q100" s="1" t="s">
        <v>42</v>
      </c>
      <c r="S100" s="1" t="s">
        <v>42</v>
      </c>
      <c r="T100" s="1" t="s">
        <v>43</v>
      </c>
      <c r="U100" s="1">
        <v>324</v>
      </c>
      <c r="V100" s="5">
        <v>44426</v>
      </c>
      <c r="W100" s="5">
        <v>44082</v>
      </c>
      <c r="X100" s="1">
        <v>495000</v>
      </c>
      <c r="AB100" s="1" t="s">
        <v>44</v>
      </c>
      <c r="AF100" s="1">
        <v>10033</v>
      </c>
      <c r="AJ100" s="1">
        <v>1954</v>
      </c>
      <c r="AL100" s="1">
        <v>60</v>
      </c>
    </row>
    <row r="101" spans="1:38" x14ac:dyDescent="0.2">
      <c r="A101" s="2" t="str">
        <f>HYPERLINK("https://www.compass.com/listing/543-west-122nd-street-unit-5d-manhattan-ny-10027/563710123569681889/","543 W 122nd St, Unit 5D")</f>
        <v>543 W 122nd St, Unit 5D</v>
      </c>
      <c r="B101" s="2" t="str">
        <f t="shared" ref="B101:B110" si="15">HYPERLINK("https://www.compass.com/building/vandewater-manhattan-ny/282058681657361477/","Vandewater")</f>
        <v>Vandewater</v>
      </c>
      <c r="C101" s="1" t="s">
        <v>95</v>
      </c>
      <c r="D101" s="1" t="s">
        <v>41</v>
      </c>
      <c r="E101" s="3">
        <v>1165000</v>
      </c>
      <c r="F101" s="1">
        <v>1512.9870129870101</v>
      </c>
      <c r="G101" s="1">
        <v>3</v>
      </c>
      <c r="H101" s="1">
        <v>1</v>
      </c>
      <c r="I101" s="1">
        <v>1</v>
      </c>
      <c r="J101" s="1">
        <v>1</v>
      </c>
      <c r="K101" s="1">
        <v>1</v>
      </c>
      <c r="M101" s="1">
        <v>770</v>
      </c>
      <c r="N101" s="1">
        <v>766</v>
      </c>
      <c r="O101" s="1">
        <v>1685</v>
      </c>
      <c r="P101" s="1">
        <v>919</v>
      </c>
      <c r="Q101" s="1" t="s">
        <v>42</v>
      </c>
      <c r="S101" s="1" t="s">
        <v>42</v>
      </c>
      <c r="T101" s="1" t="s">
        <v>43</v>
      </c>
      <c r="U101" s="1">
        <v>157</v>
      </c>
      <c r="V101" s="5">
        <v>44421</v>
      </c>
      <c r="W101" s="5">
        <v>44270</v>
      </c>
      <c r="X101" s="1">
        <v>1150000</v>
      </c>
      <c r="AB101" s="1" t="s">
        <v>44</v>
      </c>
      <c r="AF101" s="1">
        <v>10027</v>
      </c>
      <c r="AI101" s="1" t="s">
        <v>96</v>
      </c>
      <c r="AJ101" s="1">
        <v>2019</v>
      </c>
      <c r="AK101" s="1" t="s">
        <v>46</v>
      </c>
      <c r="AL101" s="1">
        <v>183</v>
      </c>
    </row>
    <row r="102" spans="1:38" x14ac:dyDescent="0.2">
      <c r="A102" s="2" t="str">
        <f>HYPERLINK("https://www.compass.com/listing/543-west-122nd-street-unit-3f-manhattan-ny-10027/563710246420482849/","543 W 122nd St, Unit 3F")</f>
        <v>543 W 122nd St, Unit 3F</v>
      </c>
      <c r="B102" s="2" t="str">
        <f t="shared" si="15"/>
        <v>Vandewater</v>
      </c>
      <c r="C102" s="1" t="s">
        <v>95</v>
      </c>
      <c r="D102" s="1" t="s">
        <v>41</v>
      </c>
      <c r="E102" s="3">
        <v>940000</v>
      </c>
      <c r="F102" s="1">
        <v>1734.3173431734299</v>
      </c>
      <c r="G102" s="1">
        <v>2</v>
      </c>
      <c r="H102" s="1" t="s">
        <v>94</v>
      </c>
      <c r="I102" s="1">
        <v>1</v>
      </c>
      <c r="J102" s="1">
        <v>1</v>
      </c>
      <c r="K102" s="1">
        <v>1</v>
      </c>
      <c r="M102" s="1">
        <v>542</v>
      </c>
      <c r="N102" s="1">
        <v>539</v>
      </c>
      <c r="O102" s="1">
        <v>1186</v>
      </c>
      <c r="P102" s="1">
        <v>647</v>
      </c>
      <c r="Q102" s="1" t="s">
        <v>42</v>
      </c>
      <c r="S102" s="1" t="s">
        <v>42</v>
      </c>
      <c r="T102" s="1" t="s">
        <v>43</v>
      </c>
      <c r="U102" s="1">
        <v>398</v>
      </c>
      <c r="V102" s="5">
        <v>44421</v>
      </c>
      <c r="W102" s="5">
        <v>44029</v>
      </c>
      <c r="X102" s="1">
        <v>940000</v>
      </c>
      <c r="AB102" s="1" t="s">
        <v>44</v>
      </c>
      <c r="AF102" s="1">
        <v>10027</v>
      </c>
      <c r="AI102" s="1" t="s">
        <v>96</v>
      </c>
      <c r="AJ102" s="1">
        <v>2019</v>
      </c>
      <c r="AK102" s="1" t="s">
        <v>46</v>
      </c>
      <c r="AL102" s="1">
        <v>183</v>
      </c>
    </row>
    <row r="103" spans="1:38" x14ac:dyDescent="0.2">
      <c r="A103" s="2" t="str">
        <f>HYPERLINK("https://www.compass.com/listing/543-west-122nd-street-unit-18c-manhattan-ny-10027/629664457385225081/","543 W 122nd St, Unit 18C")</f>
        <v>543 W 122nd St, Unit 18C</v>
      </c>
      <c r="B103" s="2" t="str">
        <f t="shared" si="15"/>
        <v>Vandewater</v>
      </c>
      <c r="C103" s="1" t="s">
        <v>95</v>
      </c>
      <c r="D103" s="1" t="s">
        <v>41</v>
      </c>
      <c r="E103" s="3">
        <v>2075000</v>
      </c>
      <c r="F103" s="1">
        <v>1645.5194290245799</v>
      </c>
      <c r="G103" s="1">
        <v>4</v>
      </c>
      <c r="H103" s="1">
        <v>2</v>
      </c>
      <c r="I103" s="1">
        <v>2</v>
      </c>
      <c r="J103" s="1">
        <v>2</v>
      </c>
      <c r="K103" s="1">
        <v>2</v>
      </c>
      <c r="M103" s="4">
        <v>1261</v>
      </c>
      <c r="N103" s="1">
        <v>1239</v>
      </c>
      <c r="O103" s="1">
        <v>2726</v>
      </c>
      <c r="P103" s="1">
        <v>1487</v>
      </c>
      <c r="Q103" s="1" t="s">
        <v>42</v>
      </c>
      <c r="S103" s="1" t="s">
        <v>42</v>
      </c>
      <c r="T103" s="1" t="s">
        <v>43</v>
      </c>
      <c r="U103" s="1">
        <v>72</v>
      </c>
      <c r="V103" s="5">
        <v>44421</v>
      </c>
      <c r="W103" s="5">
        <v>44120</v>
      </c>
      <c r="X103" s="1">
        <v>2030000</v>
      </c>
      <c r="AB103" s="1" t="s">
        <v>44</v>
      </c>
      <c r="AF103" s="1">
        <v>10027</v>
      </c>
      <c r="AI103" s="1" t="s">
        <v>96</v>
      </c>
      <c r="AJ103" s="1">
        <v>2019</v>
      </c>
      <c r="AK103" s="1" t="s">
        <v>46</v>
      </c>
      <c r="AL103" s="1">
        <v>183</v>
      </c>
    </row>
    <row r="104" spans="1:38" x14ac:dyDescent="0.2">
      <c r="A104" s="2" t="str">
        <f>HYPERLINK("https://www.compass.com/listing/543-west-122nd-street-unit-3e-manhattan-ny-10027/563710453132488193/","543 W 122nd St, Unit 3E")</f>
        <v>543 W 122nd St, Unit 3E</v>
      </c>
      <c r="B104" s="2" t="str">
        <f t="shared" si="15"/>
        <v>Vandewater</v>
      </c>
      <c r="C104" s="1" t="s">
        <v>95</v>
      </c>
      <c r="D104" s="1" t="s">
        <v>41</v>
      </c>
      <c r="E104" s="3">
        <v>2600000</v>
      </c>
      <c r="F104" s="1">
        <v>2186.71152228763</v>
      </c>
      <c r="G104" s="1">
        <v>4</v>
      </c>
      <c r="H104" s="1">
        <v>2</v>
      </c>
      <c r="I104" s="1">
        <v>2</v>
      </c>
      <c r="J104" s="1">
        <v>2</v>
      </c>
      <c r="K104" s="1">
        <v>2</v>
      </c>
      <c r="M104" s="4">
        <v>1189</v>
      </c>
      <c r="N104" s="1">
        <v>1182</v>
      </c>
      <c r="O104" s="1">
        <v>2601</v>
      </c>
      <c r="P104" s="1">
        <v>1419</v>
      </c>
      <c r="Q104" s="1" t="s">
        <v>42</v>
      </c>
      <c r="S104" s="1" t="s">
        <v>42</v>
      </c>
      <c r="T104" s="1" t="s">
        <v>43</v>
      </c>
      <c r="U104" s="1">
        <v>398</v>
      </c>
      <c r="V104" s="5">
        <v>44421</v>
      </c>
      <c r="W104" s="5">
        <v>44029</v>
      </c>
      <c r="X104" s="1">
        <v>2600000</v>
      </c>
      <c r="AB104" s="1" t="s">
        <v>44</v>
      </c>
      <c r="AF104" s="1">
        <v>10027</v>
      </c>
      <c r="AI104" s="1" t="s">
        <v>120</v>
      </c>
      <c r="AJ104" s="1">
        <v>2019</v>
      </c>
      <c r="AK104" s="1" t="s">
        <v>46</v>
      </c>
      <c r="AL104" s="1">
        <v>183</v>
      </c>
    </row>
    <row r="105" spans="1:38" x14ac:dyDescent="0.2">
      <c r="A105" s="2" t="str">
        <f>HYPERLINK("https://www.compass.com/listing/543-west-122nd-street-unit-6b-manhattan-ny-10027/249224266438960689/","543 W 122nd St, Unit 6B")</f>
        <v>543 W 122nd St, Unit 6B</v>
      </c>
      <c r="B105" s="2" t="str">
        <f t="shared" si="15"/>
        <v>Vandewater</v>
      </c>
      <c r="C105" s="1" t="s">
        <v>95</v>
      </c>
      <c r="D105" s="1" t="s">
        <v>41</v>
      </c>
      <c r="E105" s="3">
        <v>1230000</v>
      </c>
      <c r="F105" s="1">
        <v>1480.1444043321201</v>
      </c>
      <c r="G105" s="1">
        <v>3</v>
      </c>
      <c r="H105" s="1">
        <v>1</v>
      </c>
      <c r="I105" s="1">
        <v>1</v>
      </c>
      <c r="J105" s="1">
        <v>1</v>
      </c>
      <c r="K105" s="1">
        <v>1</v>
      </c>
      <c r="M105" s="1">
        <v>831</v>
      </c>
      <c r="N105" s="1">
        <v>826</v>
      </c>
      <c r="O105" s="1">
        <v>1818</v>
      </c>
      <c r="P105" s="1">
        <v>992</v>
      </c>
      <c r="Q105" s="1" t="s">
        <v>42</v>
      </c>
      <c r="S105" s="1" t="s">
        <v>42</v>
      </c>
      <c r="T105" s="1" t="s">
        <v>43</v>
      </c>
      <c r="U105" s="1">
        <v>857</v>
      </c>
      <c r="V105" s="5">
        <v>44421</v>
      </c>
      <c r="W105" s="5">
        <v>43476</v>
      </c>
      <c r="X105" s="1">
        <v>1230000</v>
      </c>
      <c r="AB105" s="1" t="s">
        <v>44</v>
      </c>
      <c r="AF105" s="1">
        <v>10027</v>
      </c>
      <c r="AI105" s="1" t="s">
        <v>96</v>
      </c>
      <c r="AJ105" s="1">
        <v>2019</v>
      </c>
      <c r="AK105" s="1" t="s">
        <v>46</v>
      </c>
      <c r="AL105" s="1">
        <v>183</v>
      </c>
    </row>
    <row r="106" spans="1:38" x14ac:dyDescent="0.2">
      <c r="A106" s="2" t="str">
        <f>HYPERLINK("https://www.compass.com/listing/543-west-122nd-street-unit-4c-manhattan-ny-10027/563710160437169353/","543 W 122nd St, Unit 4C")</f>
        <v>543 W 122nd St, Unit 4C</v>
      </c>
      <c r="B106" s="2" t="str">
        <f t="shared" si="15"/>
        <v>Vandewater</v>
      </c>
      <c r="C106" s="1" t="s">
        <v>95</v>
      </c>
      <c r="D106" s="1" t="s">
        <v>41</v>
      </c>
      <c r="E106" s="3">
        <v>1775000</v>
      </c>
      <c r="F106" s="1">
        <v>1427.99678197908</v>
      </c>
      <c r="G106" s="1">
        <v>4</v>
      </c>
      <c r="H106" s="1">
        <v>2</v>
      </c>
      <c r="I106" s="1">
        <v>2</v>
      </c>
      <c r="J106" s="1">
        <v>2</v>
      </c>
      <c r="K106" s="1">
        <v>2</v>
      </c>
      <c r="M106" s="4">
        <v>1243</v>
      </c>
      <c r="N106" s="1">
        <v>1236</v>
      </c>
      <c r="O106" s="1">
        <v>2719</v>
      </c>
      <c r="P106" s="1">
        <v>1483</v>
      </c>
      <c r="Q106" s="1" t="s">
        <v>42</v>
      </c>
      <c r="S106" s="1" t="s">
        <v>42</v>
      </c>
      <c r="T106" s="1" t="s">
        <v>43</v>
      </c>
      <c r="U106" s="1">
        <v>157</v>
      </c>
      <c r="V106" s="5">
        <v>44421</v>
      </c>
      <c r="W106" s="5">
        <v>44270</v>
      </c>
      <c r="X106" s="1">
        <v>1750000</v>
      </c>
      <c r="AB106" s="1" t="s">
        <v>44</v>
      </c>
      <c r="AF106" s="1">
        <v>10027</v>
      </c>
      <c r="AI106" s="1" t="s">
        <v>96</v>
      </c>
      <c r="AJ106" s="1">
        <v>2019</v>
      </c>
      <c r="AK106" s="1" t="s">
        <v>46</v>
      </c>
      <c r="AL106" s="1">
        <v>183</v>
      </c>
    </row>
    <row r="107" spans="1:38" x14ac:dyDescent="0.2">
      <c r="A107" s="2" t="str">
        <f>HYPERLINK("https://www.compass.com/listing/543-west-122nd-street-unit-19e-manhattan-ny-10027/489727071757647721/","543 W 122nd St, Unit 19E")</f>
        <v>543 W 122nd St, Unit 19E</v>
      </c>
      <c r="B107" s="2" t="str">
        <f t="shared" si="15"/>
        <v>Vandewater</v>
      </c>
      <c r="C107" s="1" t="s">
        <v>95</v>
      </c>
      <c r="D107" s="1" t="s">
        <v>41</v>
      </c>
      <c r="E107" s="3">
        <v>2250000</v>
      </c>
      <c r="F107" s="1">
        <v>1745.53917765709</v>
      </c>
      <c r="G107" s="1">
        <v>5</v>
      </c>
      <c r="H107" s="1">
        <v>2</v>
      </c>
      <c r="I107" s="1">
        <v>2</v>
      </c>
      <c r="J107" s="1">
        <v>2</v>
      </c>
      <c r="K107" s="1">
        <v>2</v>
      </c>
      <c r="M107" s="4">
        <v>1289</v>
      </c>
      <c r="N107" s="1">
        <v>1282</v>
      </c>
      <c r="O107" s="1">
        <v>2820</v>
      </c>
      <c r="P107" s="1">
        <v>1538</v>
      </c>
      <c r="Q107" s="1" t="s">
        <v>42</v>
      </c>
      <c r="S107" s="1" t="s">
        <v>42</v>
      </c>
      <c r="T107" s="1" t="s">
        <v>43</v>
      </c>
      <c r="U107" s="1">
        <v>167</v>
      </c>
      <c r="V107" s="5">
        <v>44421</v>
      </c>
      <c r="W107" s="5">
        <v>44260</v>
      </c>
      <c r="X107" s="1">
        <v>2225000</v>
      </c>
      <c r="AB107" s="1" t="s">
        <v>44</v>
      </c>
      <c r="AF107" s="1">
        <v>10027</v>
      </c>
      <c r="AI107" s="1" t="s">
        <v>129</v>
      </c>
      <c r="AJ107" s="1">
        <v>2019</v>
      </c>
      <c r="AK107" s="1" t="s">
        <v>46</v>
      </c>
      <c r="AL107" s="1">
        <v>183</v>
      </c>
    </row>
    <row r="108" spans="1:38" x14ac:dyDescent="0.2">
      <c r="A108" s="2" t="str">
        <f>HYPERLINK("https://www.compass.com/listing/543-west-122nd-street-unit-28c-manhattan-ny-10027/629664401691216641/","543 W 122nd St, Unit 28C")</f>
        <v>543 W 122nd St, Unit 28C</v>
      </c>
      <c r="B108" s="2" t="str">
        <f t="shared" si="15"/>
        <v>Vandewater</v>
      </c>
      <c r="C108" s="1" t="s">
        <v>95</v>
      </c>
      <c r="D108" s="1" t="s">
        <v>41</v>
      </c>
      <c r="E108" s="3">
        <v>2580000</v>
      </c>
      <c r="F108" s="1">
        <v>1964.96572734196</v>
      </c>
      <c r="G108" s="1">
        <v>4</v>
      </c>
      <c r="H108" s="1">
        <v>2</v>
      </c>
      <c r="I108" s="1">
        <v>2</v>
      </c>
      <c r="J108" s="1">
        <v>2</v>
      </c>
      <c r="K108" s="1">
        <v>2</v>
      </c>
      <c r="M108" s="4">
        <v>1313</v>
      </c>
      <c r="N108" s="1">
        <v>1306</v>
      </c>
      <c r="O108" s="1">
        <v>2870</v>
      </c>
      <c r="P108" s="1">
        <v>1564</v>
      </c>
      <c r="Q108" s="1" t="s">
        <v>42</v>
      </c>
      <c r="S108" s="1" t="s">
        <v>42</v>
      </c>
      <c r="T108" s="1" t="s">
        <v>43</v>
      </c>
      <c r="U108" s="1">
        <v>307</v>
      </c>
      <c r="V108" s="5">
        <v>44421</v>
      </c>
      <c r="W108" s="5">
        <v>44120</v>
      </c>
      <c r="X108" s="1">
        <v>2580000</v>
      </c>
      <c r="AB108" s="1" t="s">
        <v>44</v>
      </c>
      <c r="AF108" s="1">
        <v>10027</v>
      </c>
      <c r="AI108" s="1" t="s">
        <v>96</v>
      </c>
      <c r="AJ108" s="1">
        <v>2019</v>
      </c>
      <c r="AK108" s="1" t="s">
        <v>46</v>
      </c>
      <c r="AL108" s="1">
        <v>183</v>
      </c>
    </row>
    <row r="109" spans="1:38" x14ac:dyDescent="0.2">
      <c r="A109" s="2" t="str">
        <f>HYPERLINK("https://www.compass.com/listing/543-west-122nd-street-unit-28b-manhattan-ny-10027/489712438233640769/","543 W 122nd St, Unit 28B")</f>
        <v>543 W 122nd St, Unit 28B</v>
      </c>
      <c r="B109" s="2" t="str">
        <f t="shared" si="15"/>
        <v>Vandewater</v>
      </c>
      <c r="C109" s="1" t="s">
        <v>95</v>
      </c>
      <c r="D109" s="1" t="s">
        <v>41</v>
      </c>
      <c r="E109" s="3">
        <v>2740000</v>
      </c>
      <c r="F109" s="1">
        <v>1876.71232876712</v>
      </c>
      <c r="G109" s="1">
        <v>5</v>
      </c>
      <c r="H109" s="1">
        <v>2</v>
      </c>
      <c r="I109" s="1">
        <v>3</v>
      </c>
      <c r="J109" s="1">
        <v>2.5</v>
      </c>
      <c r="K109" s="1">
        <v>2</v>
      </c>
      <c r="L109" s="1">
        <v>1</v>
      </c>
      <c r="M109" s="4">
        <v>1460</v>
      </c>
      <c r="N109" s="1">
        <v>1452</v>
      </c>
      <c r="O109" s="1">
        <v>3194</v>
      </c>
      <c r="P109" s="1">
        <v>1742</v>
      </c>
      <c r="Q109" s="1" t="s">
        <v>42</v>
      </c>
      <c r="S109" s="1" t="s">
        <v>42</v>
      </c>
      <c r="T109" s="1" t="s">
        <v>43</v>
      </c>
      <c r="U109" s="1">
        <v>423</v>
      </c>
      <c r="V109" s="5">
        <v>44421</v>
      </c>
      <c r="W109" s="5">
        <v>43927</v>
      </c>
      <c r="X109" s="1">
        <v>2740000</v>
      </c>
      <c r="AB109" s="1" t="s">
        <v>44</v>
      </c>
      <c r="AF109" s="1">
        <v>10027</v>
      </c>
      <c r="AI109" s="1" t="s">
        <v>96</v>
      </c>
      <c r="AJ109" s="1">
        <v>2019</v>
      </c>
      <c r="AK109" s="1" t="s">
        <v>46</v>
      </c>
      <c r="AL109" s="1">
        <v>183</v>
      </c>
    </row>
    <row r="110" spans="1:38" x14ac:dyDescent="0.2">
      <c r="A110" s="2" t="str">
        <f>HYPERLINK("https://www.compass.com/listing/543-west-122nd-street-unit-4a-manhattan-ny-10027/563710209166809857/","543 W 122nd St, Unit 4A")</f>
        <v>543 W 122nd St, Unit 4A</v>
      </c>
      <c r="B110" s="2" t="str">
        <f t="shared" si="15"/>
        <v>Vandewater</v>
      </c>
      <c r="C110" s="1" t="s">
        <v>95</v>
      </c>
      <c r="D110" s="1" t="s">
        <v>41</v>
      </c>
      <c r="E110" s="3">
        <v>2075000</v>
      </c>
      <c r="F110" s="1">
        <v>1429.0633608815399</v>
      </c>
      <c r="G110" s="1">
        <v>4</v>
      </c>
      <c r="H110" s="1">
        <v>2</v>
      </c>
      <c r="I110" s="1">
        <v>3</v>
      </c>
      <c r="J110" s="1">
        <v>2</v>
      </c>
      <c r="K110" s="1">
        <v>2</v>
      </c>
      <c r="M110" s="4">
        <v>1452</v>
      </c>
      <c r="N110" s="1">
        <v>1444</v>
      </c>
      <c r="O110" s="1">
        <v>3177</v>
      </c>
      <c r="P110" s="1">
        <v>1733</v>
      </c>
      <c r="Q110" s="1" t="s">
        <v>42</v>
      </c>
      <c r="S110" s="1" t="s">
        <v>42</v>
      </c>
      <c r="T110" s="1" t="s">
        <v>43</v>
      </c>
      <c r="U110" s="1">
        <v>398</v>
      </c>
      <c r="V110" s="5">
        <v>44421</v>
      </c>
      <c r="W110" s="5">
        <v>44029</v>
      </c>
      <c r="X110" s="1">
        <v>2075000</v>
      </c>
      <c r="AB110" s="1" t="s">
        <v>44</v>
      </c>
      <c r="AF110" s="1">
        <v>10027</v>
      </c>
      <c r="AI110" s="1" t="s">
        <v>96</v>
      </c>
      <c r="AJ110" s="1">
        <v>2019</v>
      </c>
      <c r="AK110" s="1" t="s">
        <v>46</v>
      </c>
      <c r="AL110" s="1">
        <v>183</v>
      </c>
    </row>
    <row r="111" spans="1:38" x14ac:dyDescent="0.2">
      <c r="A111" s="2" t="str">
        <f>HYPERLINK("https://www.compass.com/listing/575-main-street-unit-1314-manhattan-ny-10044/815692910878997169/","575 Main St, Unit 1314")</f>
        <v>575 Main St, Unit 1314</v>
      </c>
      <c r="B111" s="2" t="str">
        <f>HYPERLINK("https://www.compass.com/building/island-house-manhattan-ny/282065365649887429/","Island House")</f>
        <v>Island House</v>
      </c>
      <c r="C111" s="1" t="s">
        <v>116</v>
      </c>
      <c r="D111" s="1" t="s">
        <v>41</v>
      </c>
      <c r="E111" s="3">
        <v>1127338</v>
      </c>
      <c r="F111" s="1">
        <v>680.75966183574803</v>
      </c>
      <c r="G111" s="1">
        <v>6</v>
      </c>
      <c r="H111" s="1">
        <v>3</v>
      </c>
      <c r="I111" s="1">
        <v>3</v>
      </c>
      <c r="J111" s="1">
        <v>2.5</v>
      </c>
      <c r="K111" s="1">
        <v>2</v>
      </c>
      <c r="L111" s="1">
        <v>1</v>
      </c>
      <c r="M111" s="4">
        <v>1656</v>
      </c>
      <c r="N111" s="1">
        <v>1780</v>
      </c>
      <c r="O111" s="1">
        <v>1780</v>
      </c>
      <c r="Q111" s="1" t="s">
        <v>117</v>
      </c>
      <c r="S111" s="1" t="s">
        <v>117</v>
      </c>
      <c r="T111" s="1" t="s">
        <v>43</v>
      </c>
      <c r="U111" s="1">
        <v>50</v>
      </c>
      <c r="V111" s="5">
        <v>44400</v>
      </c>
      <c r="W111" s="5">
        <v>44377</v>
      </c>
      <c r="X111" s="1">
        <v>1127338</v>
      </c>
      <c r="AB111" s="1" t="s">
        <v>44</v>
      </c>
      <c r="AF111" s="1">
        <v>10044</v>
      </c>
      <c r="AJ111" s="1">
        <v>1975</v>
      </c>
      <c r="AK111" s="1" t="s">
        <v>99</v>
      </c>
      <c r="AL111" s="1">
        <v>400</v>
      </c>
    </row>
    <row r="112" spans="1:38" x14ac:dyDescent="0.2">
      <c r="A112" s="2" t="str">
        <f>HYPERLINK("https://www.compass.com/listing/543-west-122nd-street-unit-8g-manhattan-ny-10027/339690554845314833/","543 W 122nd St, Unit 8G")</f>
        <v>543 W 122nd St, Unit 8G</v>
      </c>
      <c r="B112" s="2" t="str">
        <f t="shared" ref="B112:B123" si="16">HYPERLINK("https://www.compass.com/building/vandewater-manhattan-ny/282058681657361477/","Vandewater")</f>
        <v>Vandewater</v>
      </c>
      <c r="C112" s="1" t="s">
        <v>95</v>
      </c>
      <c r="D112" s="1" t="s">
        <v>41</v>
      </c>
      <c r="E112" s="3">
        <v>1275000</v>
      </c>
      <c r="F112" s="1">
        <v>1591.76029962546</v>
      </c>
      <c r="G112" s="1">
        <v>3</v>
      </c>
      <c r="H112" s="1">
        <v>1</v>
      </c>
      <c r="I112" s="1">
        <v>1</v>
      </c>
      <c r="J112" s="1">
        <v>1</v>
      </c>
      <c r="K112" s="1">
        <v>1</v>
      </c>
      <c r="M112" s="1">
        <v>801</v>
      </c>
      <c r="N112" s="1">
        <v>796</v>
      </c>
      <c r="O112" s="1">
        <v>1752</v>
      </c>
      <c r="P112" s="1">
        <v>956</v>
      </c>
      <c r="Q112" s="1" t="s">
        <v>42</v>
      </c>
      <c r="S112" s="1" t="s">
        <v>42</v>
      </c>
      <c r="T112" s="1" t="s">
        <v>43</v>
      </c>
      <c r="U112" s="1">
        <v>613</v>
      </c>
      <c r="V112" s="5">
        <v>44421</v>
      </c>
      <c r="W112" s="5">
        <v>43720</v>
      </c>
      <c r="X112" s="1">
        <v>1275000</v>
      </c>
      <c r="AB112" s="1" t="s">
        <v>44</v>
      </c>
      <c r="AF112" s="1">
        <v>10027</v>
      </c>
      <c r="AI112" s="1" t="s">
        <v>96</v>
      </c>
      <c r="AJ112" s="1">
        <v>2019</v>
      </c>
      <c r="AK112" s="1" t="s">
        <v>46</v>
      </c>
      <c r="AL112" s="1">
        <v>183</v>
      </c>
    </row>
    <row r="113" spans="1:38" x14ac:dyDescent="0.2">
      <c r="A113" s="2" t="str">
        <f>HYPERLINK("https://www.compass.com/listing/543-west-122nd-street-unit-18f-manhattan-ny-10027/400600767216595889/","543 W 122nd St, Unit 18F")</f>
        <v>543 W 122nd St, Unit 18F</v>
      </c>
      <c r="B113" s="2" t="str">
        <f t="shared" si="16"/>
        <v>Vandewater</v>
      </c>
      <c r="C113" s="1" t="s">
        <v>95</v>
      </c>
      <c r="D113" s="1" t="s">
        <v>41</v>
      </c>
      <c r="E113" s="3">
        <v>1285000</v>
      </c>
      <c r="F113" s="1">
        <v>1753.06957708049</v>
      </c>
      <c r="G113" s="1">
        <v>3</v>
      </c>
      <c r="H113" s="1">
        <v>1</v>
      </c>
      <c r="I113" s="1">
        <v>1</v>
      </c>
      <c r="J113" s="1">
        <v>1</v>
      </c>
      <c r="K113" s="1">
        <v>1</v>
      </c>
      <c r="M113" s="1">
        <v>733</v>
      </c>
      <c r="N113" s="1">
        <v>729</v>
      </c>
      <c r="O113" s="1">
        <v>1604</v>
      </c>
      <c r="P113" s="1">
        <v>875</v>
      </c>
      <c r="Q113" s="1" t="s">
        <v>42</v>
      </c>
      <c r="S113" s="1" t="s">
        <v>42</v>
      </c>
      <c r="T113" s="1" t="s">
        <v>43</v>
      </c>
      <c r="U113" s="1">
        <v>529</v>
      </c>
      <c r="V113" s="5">
        <v>44421</v>
      </c>
      <c r="W113" s="5">
        <v>43804</v>
      </c>
      <c r="X113" s="1">
        <v>1265000</v>
      </c>
      <c r="AB113" s="1" t="s">
        <v>44</v>
      </c>
      <c r="AF113" s="1">
        <v>10027</v>
      </c>
      <c r="AI113" s="1" t="s">
        <v>96</v>
      </c>
      <c r="AJ113" s="1">
        <v>2019</v>
      </c>
      <c r="AK113" s="1" t="s">
        <v>46</v>
      </c>
      <c r="AL113" s="1">
        <v>183</v>
      </c>
    </row>
    <row r="114" spans="1:38" x14ac:dyDescent="0.2">
      <c r="A114" s="2" t="str">
        <f>HYPERLINK("https://www.compass.com/listing/543-west-122nd-street-unit-10h-manhattan-ny-10027/400612641660505793/","543 W 122nd St, Unit 10H")</f>
        <v>543 W 122nd St, Unit 10H</v>
      </c>
      <c r="B114" s="2" t="str">
        <f t="shared" si="16"/>
        <v>Vandewater</v>
      </c>
      <c r="C114" s="1" t="s">
        <v>95</v>
      </c>
      <c r="D114" s="1" t="s">
        <v>41</v>
      </c>
      <c r="E114" s="3">
        <v>2830000</v>
      </c>
      <c r="F114" s="1">
        <v>1604.30839002267</v>
      </c>
      <c r="G114" s="1">
        <v>5</v>
      </c>
      <c r="H114" s="1">
        <v>3</v>
      </c>
      <c r="I114" s="1">
        <v>3</v>
      </c>
      <c r="J114" s="1">
        <v>2.5</v>
      </c>
      <c r="K114" s="1">
        <v>2</v>
      </c>
      <c r="L114" s="1">
        <v>1</v>
      </c>
      <c r="M114" s="4">
        <v>1764</v>
      </c>
      <c r="N114" s="1">
        <v>1754</v>
      </c>
      <c r="O114" s="1">
        <v>3859</v>
      </c>
      <c r="P114" s="1">
        <v>2105</v>
      </c>
      <c r="Q114" s="1" t="s">
        <v>42</v>
      </c>
      <c r="S114" s="1" t="s">
        <v>42</v>
      </c>
      <c r="T114" s="1" t="s">
        <v>43</v>
      </c>
      <c r="U114" s="1">
        <v>529</v>
      </c>
      <c r="V114" s="5">
        <v>44421</v>
      </c>
      <c r="W114" s="5">
        <v>43804</v>
      </c>
      <c r="X114" s="1">
        <v>2830000</v>
      </c>
      <c r="AB114" s="1" t="s">
        <v>44</v>
      </c>
      <c r="AF114" s="1">
        <v>10027</v>
      </c>
      <c r="AI114" s="1" t="s">
        <v>96</v>
      </c>
      <c r="AJ114" s="1">
        <v>2019</v>
      </c>
      <c r="AK114" s="1" t="s">
        <v>46</v>
      </c>
      <c r="AL114" s="1">
        <v>183</v>
      </c>
    </row>
    <row r="115" spans="1:38" x14ac:dyDescent="0.2">
      <c r="A115" s="2" t="str">
        <f>HYPERLINK("https://www.compass.com/listing/543-west-122nd-street-unit-4h-manhattan-ny-10027/426101202470343985/","543 W 122nd St, Unit 4H")</f>
        <v>543 W 122nd St, Unit 4H</v>
      </c>
      <c r="B115" s="2" t="str">
        <f t="shared" si="16"/>
        <v>Vandewater</v>
      </c>
      <c r="C115" s="1" t="s">
        <v>95</v>
      </c>
      <c r="D115" s="1" t="s">
        <v>41</v>
      </c>
      <c r="E115" s="3">
        <v>2590000</v>
      </c>
      <c r="F115" s="1">
        <v>1468.25396825396</v>
      </c>
      <c r="G115" s="1">
        <v>5</v>
      </c>
      <c r="H115" s="1">
        <v>3</v>
      </c>
      <c r="I115" s="1">
        <v>3</v>
      </c>
      <c r="J115" s="1">
        <v>2.5</v>
      </c>
      <c r="K115" s="1">
        <v>2</v>
      </c>
      <c r="L115" s="1">
        <v>1</v>
      </c>
      <c r="M115" s="4">
        <v>1764</v>
      </c>
      <c r="N115" s="1">
        <v>1754</v>
      </c>
      <c r="O115" s="1">
        <v>3859</v>
      </c>
      <c r="P115" s="1">
        <v>2105</v>
      </c>
      <c r="Q115" s="1" t="s">
        <v>42</v>
      </c>
      <c r="S115" s="1" t="s">
        <v>42</v>
      </c>
      <c r="T115" s="1" t="s">
        <v>43</v>
      </c>
      <c r="U115" s="1">
        <v>494</v>
      </c>
      <c r="V115" s="5">
        <v>44421</v>
      </c>
      <c r="W115" s="5">
        <v>43839</v>
      </c>
      <c r="X115" s="1">
        <v>2590000</v>
      </c>
      <c r="AB115" s="1" t="s">
        <v>44</v>
      </c>
      <c r="AF115" s="1">
        <v>10027</v>
      </c>
      <c r="AI115" s="1" t="s">
        <v>96</v>
      </c>
      <c r="AJ115" s="1">
        <v>2019</v>
      </c>
      <c r="AK115" s="1" t="s">
        <v>46</v>
      </c>
      <c r="AL115" s="1">
        <v>183</v>
      </c>
    </row>
    <row r="116" spans="1:38" x14ac:dyDescent="0.2">
      <c r="A116" s="2" t="str">
        <f>HYPERLINK("https://www.compass.com/listing/543-west-122nd-street-unit-ph30a-manhattan-ny-10027/740431893479860585/","543 W 122nd St, Unit PH30A")</f>
        <v>543 W 122nd St, Unit PH30A</v>
      </c>
      <c r="B116" s="2" t="str">
        <f t="shared" si="16"/>
        <v>Vandewater</v>
      </c>
      <c r="C116" s="1" t="s">
        <v>95</v>
      </c>
      <c r="D116" s="1" t="s">
        <v>41</v>
      </c>
      <c r="E116" s="3">
        <v>5850000</v>
      </c>
      <c r="F116" s="1">
        <v>2807.1017274472101</v>
      </c>
      <c r="G116" s="1">
        <v>5</v>
      </c>
      <c r="H116" s="1">
        <v>3</v>
      </c>
      <c r="I116" s="1">
        <v>4</v>
      </c>
      <c r="J116" s="1">
        <v>3</v>
      </c>
      <c r="K116" s="1">
        <v>3</v>
      </c>
      <c r="M116" s="4">
        <v>2084</v>
      </c>
      <c r="N116" s="1">
        <v>2401</v>
      </c>
      <c r="O116" s="1">
        <v>5282</v>
      </c>
      <c r="P116" s="1">
        <v>2881</v>
      </c>
      <c r="Q116" s="1" t="s">
        <v>42</v>
      </c>
      <c r="S116" s="1" t="s">
        <v>42</v>
      </c>
      <c r="T116" s="1" t="s">
        <v>43</v>
      </c>
      <c r="U116" s="1">
        <v>154</v>
      </c>
      <c r="V116" s="5">
        <v>44421</v>
      </c>
      <c r="W116" s="5">
        <v>44273</v>
      </c>
      <c r="X116" s="1">
        <v>5850000</v>
      </c>
      <c r="AB116" s="1" t="s">
        <v>44</v>
      </c>
      <c r="AF116" s="1">
        <v>10027</v>
      </c>
      <c r="AI116" s="1" t="s">
        <v>130</v>
      </c>
      <c r="AJ116" s="1">
        <v>2019</v>
      </c>
      <c r="AK116" s="1" t="s">
        <v>46</v>
      </c>
      <c r="AL116" s="1">
        <v>183</v>
      </c>
    </row>
    <row r="117" spans="1:38" x14ac:dyDescent="0.2">
      <c r="A117" s="2" t="str">
        <f>HYPERLINK("https://www.compass.com/listing/543-west-122nd-street-unit-ph31b-manhattan-ny-10027/740431893698236145/","543 W 122nd St, Unit PH31B")</f>
        <v>543 W 122nd St, Unit PH31B</v>
      </c>
      <c r="B117" s="2" t="str">
        <f t="shared" si="16"/>
        <v>Vandewater</v>
      </c>
      <c r="C117" s="1" t="s">
        <v>95</v>
      </c>
      <c r="D117" s="1" t="s">
        <v>41</v>
      </c>
      <c r="E117" s="3">
        <v>4150000</v>
      </c>
      <c r="F117" s="1">
        <v>2073.9630184907501</v>
      </c>
      <c r="G117" s="1">
        <v>5</v>
      </c>
      <c r="H117" s="1">
        <v>3</v>
      </c>
      <c r="I117" s="1">
        <v>4</v>
      </c>
      <c r="J117" s="1">
        <v>3</v>
      </c>
      <c r="K117" s="1">
        <v>3</v>
      </c>
      <c r="M117" s="4">
        <v>2001</v>
      </c>
      <c r="N117" s="1">
        <v>1990</v>
      </c>
      <c r="O117" s="1">
        <v>4378</v>
      </c>
      <c r="P117" s="1">
        <v>2388</v>
      </c>
      <c r="Q117" s="1" t="s">
        <v>42</v>
      </c>
      <c r="S117" s="1" t="s">
        <v>42</v>
      </c>
      <c r="T117" s="1" t="s">
        <v>43</v>
      </c>
      <c r="U117" s="1">
        <v>154</v>
      </c>
      <c r="V117" s="5">
        <v>44421</v>
      </c>
      <c r="W117" s="5">
        <v>44273</v>
      </c>
      <c r="X117" s="1">
        <v>4150000</v>
      </c>
      <c r="AB117" s="1" t="s">
        <v>44</v>
      </c>
      <c r="AF117" s="1">
        <v>10027</v>
      </c>
      <c r="AI117" s="1" t="s">
        <v>96</v>
      </c>
      <c r="AJ117" s="1">
        <v>2019</v>
      </c>
      <c r="AK117" s="1" t="s">
        <v>46</v>
      </c>
      <c r="AL117" s="1">
        <v>183</v>
      </c>
    </row>
    <row r="118" spans="1:38" x14ac:dyDescent="0.2">
      <c r="A118" s="2" t="str">
        <f>HYPERLINK("https://www.compass.com/listing/543-west-122nd-street-unit-27d-manhattan-ny-10027/339718968167728225/","543 W 122nd St, Unit 27D")</f>
        <v>543 W 122nd St, Unit 27D</v>
      </c>
      <c r="B118" s="2" t="str">
        <f t="shared" si="16"/>
        <v>Vandewater</v>
      </c>
      <c r="C118" s="1" t="s">
        <v>95</v>
      </c>
      <c r="D118" s="1" t="s">
        <v>41</v>
      </c>
      <c r="E118" s="3">
        <v>3450000</v>
      </c>
      <c r="F118" s="1">
        <v>2018.7244002340501</v>
      </c>
      <c r="G118" s="1">
        <v>5</v>
      </c>
      <c r="H118" s="1">
        <v>3</v>
      </c>
      <c r="I118" s="1">
        <v>3</v>
      </c>
      <c r="J118" s="1">
        <v>2</v>
      </c>
      <c r="K118" s="1">
        <v>2</v>
      </c>
      <c r="M118" s="4">
        <v>1709</v>
      </c>
      <c r="N118" s="1">
        <v>1700</v>
      </c>
      <c r="O118" s="1">
        <v>3739</v>
      </c>
      <c r="P118" s="1">
        <v>2039</v>
      </c>
      <c r="Q118" s="1" t="s">
        <v>42</v>
      </c>
      <c r="S118" s="1" t="s">
        <v>42</v>
      </c>
      <c r="T118" s="1" t="s">
        <v>43</v>
      </c>
      <c r="U118" s="1">
        <v>157</v>
      </c>
      <c r="V118" s="5">
        <v>44421</v>
      </c>
      <c r="W118" s="5">
        <v>44270</v>
      </c>
      <c r="X118" s="1">
        <v>3400000</v>
      </c>
      <c r="AB118" s="1" t="s">
        <v>44</v>
      </c>
      <c r="AF118" s="1">
        <v>10027</v>
      </c>
      <c r="AI118" s="1" t="s">
        <v>131</v>
      </c>
      <c r="AJ118" s="1">
        <v>2019</v>
      </c>
      <c r="AK118" s="1" t="s">
        <v>46</v>
      </c>
      <c r="AL118" s="1">
        <v>183</v>
      </c>
    </row>
    <row r="119" spans="1:38" x14ac:dyDescent="0.2">
      <c r="A119" s="2" t="str">
        <f>HYPERLINK("https://www.compass.com/listing/543-west-122nd-street-unit-26a-manhattan-ny-10027/274558843957068849/","543 W 122nd St, Unit 26A")</f>
        <v>543 W 122nd St, Unit 26A</v>
      </c>
      <c r="B119" s="2" t="str">
        <f t="shared" si="16"/>
        <v>Vandewater</v>
      </c>
      <c r="C119" s="1" t="s">
        <v>95</v>
      </c>
      <c r="D119" s="1" t="s">
        <v>41</v>
      </c>
      <c r="E119" s="3">
        <v>3975000</v>
      </c>
      <c r="F119" s="1">
        <v>2356.2537048014201</v>
      </c>
      <c r="G119" s="1">
        <v>5</v>
      </c>
      <c r="H119" s="1">
        <v>3</v>
      </c>
      <c r="I119" s="1">
        <v>3</v>
      </c>
      <c r="J119" s="1">
        <v>2.5</v>
      </c>
      <c r="K119" s="1">
        <v>2</v>
      </c>
      <c r="L119" s="1">
        <v>1</v>
      </c>
      <c r="M119" s="4">
        <v>1687</v>
      </c>
      <c r="N119" s="1">
        <v>1803</v>
      </c>
      <c r="O119" s="1">
        <v>3966</v>
      </c>
      <c r="P119" s="1">
        <v>2163</v>
      </c>
      <c r="Q119" s="1" t="s">
        <v>42</v>
      </c>
      <c r="S119" s="1" t="s">
        <v>42</v>
      </c>
      <c r="T119" s="1" t="s">
        <v>43</v>
      </c>
      <c r="U119" s="1">
        <v>423</v>
      </c>
      <c r="V119" s="5">
        <v>44421</v>
      </c>
      <c r="W119" s="5">
        <v>43928</v>
      </c>
      <c r="X119" s="1">
        <v>3975000</v>
      </c>
      <c r="AB119" s="1" t="s">
        <v>44</v>
      </c>
      <c r="AF119" s="1">
        <v>10027</v>
      </c>
      <c r="AI119" s="1" t="s">
        <v>120</v>
      </c>
      <c r="AJ119" s="1">
        <v>2019</v>
      </c>
      <c r="AK119" s="1" t="s">
        <v>46</v>
      </c>
      <c r="AL119" s="1">
        <v>183</v>
      </c>
    </row>
    <row r="120" spans="1:38" x14ac:dyDescent="0.2">
      <c r="A120" s="2" t="str">
        <f>HYPERLINK("https://www.compass.com/listing/543-west-122nd-street-unit-27a-manhattan-ny-10027/426101203000122561/","543 W 122nd St, Unit 27A")</f>
        <v>543 W 122nd St, Unit 27A</v>
      </c>
      <c r="B120" s="2" t="str">
        <f t="shared" si="16"/>
        <v>Vandewater</v>
      </c>
      <c r="C120" s="1" t="s">
        <v>95</v>
      </c>
      <c r="D120" s="1" t="s">
        <v>41</v>
      </c>
      <c r="E120" s="3">
        <v>3300000</v>
      </c>
      <c r="F120" s="1">
        <v>1956.1351511558901</v>
      </c>
      <c r="G120" s="1">
        <v>5</v>
      </c>
      <c r="H120" s="1">
        <v>3</v>
      </c>
      <c r="I120" s="1">
        <v>3</v>
      </c>
      <c r="J120" s="1">
        <v>2.5</v>
      </c>
      <c r="K120" s="1">
        <v>2</v>
      </c>
      <c r="L120" s="1">
        <v>1</v>
      </c>
      <c r="M120" s="4">
        <v>1687</v>
      </c>
      <c r="N120" s="1">
        <v>1678</v>
      </c>
      <c r="O120" s="1">
        <v>3691</v>
      </c>
      <c r="P120" s="1">
        <v>2013</v>
      </c>
      <c r="Q120" s="1" t="s">
        <v>42</v>
      </c>
      <c r="S120" s="1" t="s">
        <v>42</v>
      </c>
      <c r="T120" s="1" t="s">
        <v>43</v>
      </c>
      <c r="U120" s="1">
        <v>494</v>
      </c>
      <c r="V120" s="5">
        <v>44343</v>
      </c>
      <c r="W120" s="5">
        <v>43839</v>
      </c>
      <c r="X120" s="1">
        <v>3300000</v>
      </c>
      <c r="AB120" s="1" t="s">
        <v>44</v>
      </c>
      <c r="AF120" s="1">
        <v>10027</v>
      </c>
      <c r="AI120" s="1" t="s">
        <v>96</v>
      </c>
      <c r="AJ120" s="1">
        <v>2019</v>
      </c>
      <c r="AK120" s="1" t="s">
        <v>46</v>
      </c>
      <c r="AL120" s="1">
        <v>183</v>
      </c>
    </row>
    <row r="121" spans="1:38" x14ac:dyDescent="0.2">
      <c r="A121" s="2" t="str">
        <f>HYPERLINK("https://www.compass.com/listing/543-west-122nd-street-unit-28a-manhattan-ny-10027/490391436813055121/","543 W 122nd St, Unit 28A")</f>
        <v>543 W 122nd St, Unit 28A</v>
      </c>
      <c r="B121" s="2" t="str">
        <f t="shared" si="16"/>
        <v>Vandewater</v>
      </c>
      <c r="C121" s="1" t="s">
        <v>95</v>
      </c>
      <c r="D121" s="1" t="s">
        <v>41</v>
      </c>
      <c r="E121" s="3">
        <v>3350000</v>
      </c>
      <c r="F121" s="1">
        <v>1985.7735625370401</v>
      </c>
      <c r="G121" s="1">
        <v>6</v>
      </c>
      <c r="H121" s="1">
        <v>3</v>
      </c>
      <c r="I121" s="1">
        <v>3</v>
      </c>
      <c r="J121" s="1">
        <v>2.5</v>
      </c>
      <c r="K121" s="1">
        <v>2</v>
      </c>
      <c r="L121" s="1">
        <v>1</v>
      </c>
      <c r="M121" s="4">
        <v>1687</v>
      </c>
      <c r="N121" s="1">
        <v>1678</v>
      </c>
      <c r="O121" s="1">
        <v>3691</v>
      </c>
      <c r="P121" s="1">
        <v>2013</v>
      </c>
      <c r="Q121" s="1" t="s">
        <v>42</v>
      </c>
      <c r="S121" s="1" t="s">
        <v>42</v>
      </c>
      <c r="T121" s="1" t="s">
        <v>43</v>
      </c>
      <c r="U121" s="1">
        <v>423</v>
      </c>
      <c r="V121" s="5">
        <v>44421</v>
      </c>
      <c r="W121" s="5">
        <v>43928</v>
      </c>
      <c r="X121" s="1">
        <v>3350000</v>
      </c>
      <c r="AB121" s="1" t="s">
        <v>44</v>
      </c>
      <c r="AF121" s="1">
        <v>10027</v>
      </c>
      <c r="AI121" s="1" t="s">
        <v>96</v>
      </c>
      <c r="AJ121" s="1">
        <v>2019</v>
      </c>
      <c r="AK121" s="1" t="s">
        <v>46</v>
      </c>
      <c r="AL121" s="1">
        <v>183</v>
      </c>
    </row>
    <row r="122" spans="1:38" x14ac:dyDescent="0.2">
      <c r="A122" s="2" t="str">
        <f>HYPERLINK("https://www.compass.com/listing/543-west-122nd-street-unit-17a-manhattan-ny-10027/563722701976986137/","543 W 122nd St, Unit 17A")</f>
        <v>543 W 122nd St, Unit 17A</v>
      </c>
      <c r="B122" s="2" t="str">
        <f t="shared" si="16"/>
        <v>Vandewater</v>
      </c>
      <c r="C122" s="1" t="s">
        <v>95</v>
      </c>
      <c r="D122" s="1" t="s">
        <v>41</v>
      </c>
      <c r="E122" s="3">
        <v>3700000</v>
      </c>
      <c r="F122" s="1">
        <v>1779.70177970177</v>
      </c>
      <c r="G122" s="1">
        <v>6</v>
      </c>
      <c r="H122" s="1">
        <v>4</v>
      </c>
      <c r="I122" s="1">
        <v>4</v>
      </c>
      <c r="J122" s="1">
        <v>3</v>
      </c>
      <c r="K122" s="1">
        <v>3</v>
      </c>
      <c r="M122" s="4">
        <v>2079</v>
      </c>
      <c r="N122" s="1">
        <v>2108</v>
      </c>
      <c r="O122" s="1">
        <v>4638</v>
      </c>
      <c r="P122" s="1">
        <v>2530</v>
      </c>
      <c r="Q122" s="1" t="s">
        <v>42</v>
      </c>
      <c r="S122" s="1" t="s">
        <v>42</v>
      </c>
      <c r="T122" s="1" t="s">
        <v>43</v>
      </c>
      <c r="U122" s="1">
        <v>398</v>
      </c>
      <c r="V122" s="5">
        <v>44421</v>
      </c>
      <c r="W122" s="5">
        <v>44029</v>
      </c>
      <c r="X122" s="1">
        <v>3700000</v>
      </c>
      <c r="AB122" s="1" t="s">
        <v>44</v>
      </c>
      <c r="AF122" s="1">
        <v>10027</v>
      </c>
      <c r="AI122" s="1" t="s">
        <v>96</v>
      </c>
      <c r="AJ122" s="1">
        <v>2019</v>
      </c>
      <c r="AK122" s="1" t="s">
        <v>46</v>
      </c>
      <c r="AL122" s="1">
        <v>183</v>
      </c>
    </row>
    <row r="123" spans="1:38" x14ac:dyDescent="0.2">
      <c r="A123" s="2" t="str">
        <f>HYPERLINK("https://www.compass.com/listing/543-west-122nd-street-unit-24b-manhattan-ny-10027/564321462352477865/","543 W 122nd St, Unit 24B")</f>
        <v>543 W 122nd St, Unit 24B</v>
      </c>
      <c r="B123" s="2" t="str">
        <f t="shared" si="16"/>
        <v>Vandewater</v>
      </c>
      <c r="C123" s="1" t="s">
        <v>95</v>
      </c>
      <c r="D123" s="1" t="s">
        <v>41</v>
      </c>
      <c r="E123" s="3">
        <v>5650000</v>
      </c>
      <c r="F123" s="1">
        <v>2495.5830388692498</v>
      </c>
      <c r="G123" s="1">
        <v>6.5</v>
      </c>
      <c r="H123" s="1">
        <v>4</v>
      </c>
      <c r="I123" s="1">
        <v>4</v>
      </c>
      <c r="J123" s="1">
        <v>3.5</v>
      </c>
      <c r="K123" s="1">
        <v>3</v>
      </c>
      <c r="L123" s="1">
        <v>1</v>
      </c>
      <c r="M123" s="4">
        <v>2264</v>
      </c>
      <c r="N123" s="1">
        <v>2394</v>
      </c>
      <c r="O123" s="1">
        <v>5266</v>
      </c>
      <c r="P123" s="1">
        <v>2872</v>
      </c>
      <c r="Q123" s="1" t="s">
        <v>42</v>
      </c>
      <c r="S123" s="1" t="s">
        <v>42</v>
      </c>
      <c r="T123" s="1" t="s">
        <v>43</v>
      </c>
      <c r="U123" s="1">
        <v>397</v>
      </c>
      <c r="V123" s="5">
        <v>44421</v>
      </c>
      <c r="W123" s="5">
        <v>44030</v>
      </c>
      <c r="X123" s="1">
        <v>5650000</v>
      </c>
      <c r="AB123" s="1" t="s">
        <v>44</v>
      </c>
      <c r="AF123" s="1">
        <v>10027</v>
      </c>
      <c r="AI123" s="1" t="s">
        <v>132</v>
      </c>
      <c r="AJ123" s="1">
        <v>2019</v>
      </c>
      <c r="AK123" s="1" t="s">
        <v>46</v>
      </c>
      <c r="AL123" s="1">
        <v>183</v>
      </c>
    </row>
    <row r="124" spans="1:38" x14ac:dyDescent="0.2">
      <c r="A124" s="2" t="str">
        <f>HYPERLINK("https://www.compass.com/listing/52-convent-avenue-unit-1c-manhattan-ny-10027/253299437928044705/","52 Convent Ave, Unit 1C")</f>
        <v>52 Convent Ave, Unit 1C</v>
      </c>
      <c r="B124" s="2" t="str">
        <f>HYPERLINK("https://www.compass.com/building/52-convent-avenue-manhattan-ny/292889753865529749/","52 Convent Avenue ")</f>
        <v xml:space="preserve">52 Convent Avenue </v>
      </c>
      <c r="C124" s="1" t="s">
        <v>60</v>
      </c>
      <c r="D124" s="1" t="s">
        <v>41</v>
      </c>
      <c r="E124" s="3">
        <v>1695000</v>
      </c>
      <c r="F124" s="1">
        <v>685.67961165048496</v>
      </c>
      <c r="G124" s="1">
        <v>5</v>
      </c>
      <c r="H124" s="1">
        <v>3</v>
      </c>
      <c r="I124" s="1">
        <v>4</v>
      </c>
      <c r="J124" s="1">
        <v>3.5</v>
      </c>
      <c r="K124" s="1">
        <v>3</v>
      </c>
      <c r="L124" s="1">
        <v>1</v>
      </c>
      <c r="M124" s="4">
        <v>2472</v>
      </c>
      <c r="N124" s="1">
        <v>1245</v>
      </c>
      <c r="O124" s="1">
        <v>2815</v>
      </c>
      <c r="P124" s="1">
        <v>1570</v>
      </c>
      <c r="Q124" s="1" t="s">
        <v>42</v>
      </c>
      <c r="S124" s="1" t="s">
        <v>42</v>
      </c>
      <c r="T124" s="1" t="s">
        <v>43</v>
      </c>
      <c r="U124" s="1">
        <v>732</v>
      </c>
      <c r="V124" s="5">
        <v>44427</v>
      </c>
      <c r="W124" s="5">
        <v>43601</v>
      </c>
      <c r="X124" s="1">
        <v>1975000</v>
      </c>
      <c r="AB124" s="1" t="s">
        <v>44</v>
      </c>
      <c r="AD124" s="1" t="s">
        <v>127</v>
      </c>
      <c r="AE124" s="1" t="s">
        <v>90</v>
      </c>
      <c r="AF124" s="1">
        <v>10027</v>
      </c>
      <c r="AI124" s="1" t="s">
        <v>96</v>
      </c>
      <c r="AJ124" s="1">
        <v>2018</v>
      </c>
      <c r="AK124" s="1" t="s">
        <v>86</v>
      </c>
      <c r="AL124" s="1">
        <v>17</v>
      </c>
    </row>
    <row r="125" spans="1:38" x14ac:dyDescent="0.2">
      <c r="A125" s="2" t="str">
        <f>HYPERLINK("https://www.compass.com/listing/199-chrystie-street-unit-3s-manhattan-ny-10002/760781812588718881/","199 Chrystie St, Unit 3S")</f>
        <v>199 Chrystie St, Unit 3S</v>
      </c>
      <c r="B125" s="2" t="str">
        <f t="shared" ref="B125:B127" si="17">HYPERLINK("https://www.compass.com/building/199-chrystie-manhattan-ny/293529410684877573/","199 Chrystie")</f>
        <v>199 Chrystie</v>
      </c>
      <c r="C125" s="1" t="s">
        <v>133</v>
      </c>
      <c r="D125" s="1" t="s">
        <v>41</v>
      </c>
      <c r="E125" s="3">
        <v>3250000</v>
      </c>
      <c r="F125" s="1">
        <v>2343.18673395818</v>
      </c>
      <c r="G125" s="1">
        <v>4</v>
      </c>
      <c r="H125" s="1">
        <v>2</v>
      </c>
      <c r="I125" s="1">
        <v>3</v>
      </c>
      <c r="J125" s="1">
        <v>2.5</v>
      </c>
      <c r="K125" s="1">
        <v>2</v>
      </c>
      <c r="L125" s="1">
        <v>1</v>
      </c>
      <c r="M125" s="4">
        <v>1387</v>
      </c>
      <c r="N125" s="1">
        <v>946</v>
      </c>
      <c r="O125" s="1">
        <v>2841</v>
      </c>
      <c r="P125" s="1">
        <v>1895</v>
      </c>
      <c r="Q125" s="1" t="s">
        <v>42</v>
      </c>
      <c r="S125" s="1" t="s">
        <v>42</v>
      </c>
      <c r="T125" s="1" t="s">
        <v>43</v>
      </c>
      <c r="U125" s="1">
        <v>122</v>
      </c>
      <c r="V125" s="5">
        <v>44424</v>
      </c>
      <c r="W125" s="5">
        <v>44305</v>
      </c>
      <c r="X125" s="1">
        <v>3250000</v>
      </c>
      <c r="AB125" s="1" t="s">
        <v>44</v>
      </c>
      <c r="AF125" s="1">
        <v>10002</v>
      </c>
      <c r="AI125" s="1" t="s">
        <v>134</v>
      </c>
      <c r="AJ125" s="1">
        <v>2021</v>
      </c>
      <c r="AK125" s="1" t="s">
        <v>86</v>
      </c>
      <c r="AL125" s="1">
        <v>14</v>
      </c>
    </row>
    <row r="126" spans="1:38" x14ac:dyDescent="0.2">
      <c r="A126" s="2" t="str">
        <f>HYPERLINK("https://www.compass.com/listing/199-chrystie-street-unit-4n-manhattan-ny-10002/705485904561785233/","199 Chrystie St, Unit 4N")</f>
        <v>199 Chrystie St, Unit 4N</v>
      </c>
      <c r="B126" s="2" t="str">
        <f t="shared" si="17"/>
        <v>199 Chrystie</v>
      </c>
      <c r="C126" s="1" t="s">
        <v>133</v>
      </c>
      <c r="D126" s="1" t="s">
        <v>41</v>
      </c>
      <c r="E126" s="3">
        <v>5995000</v>
      </c>
      <c r="F126" s="1">
        <v>2492.7234927234899</v>
      </c>
      <c r="G126" s="1">
        <v>6.5</v>
      </c>
      <c r="H126" s="1">
        <v>3</v>
      </c>
      <c r="I126" s="1">
        <v>4</v>
      </c>
      <c r="J126" s="1">
        <v>3.5</v>
      </c>
      <c r="K126" s="1">
        <v>3</v>
      </c>
      <c r="L126" s="1">
        <v>1</v>
      </c>
      <c r="M126" s="4">
        <v>2405</v>
      </c>
      <c r="N126" s="1">
        <v>3488</v>
      </c>
      <c r="O126" s="1">
        <v>5230</v>
      </c>
      <c r="P126" s="1">
        <v>1742</v>
      </c>
      <c r="Q126" s="1" t="s">
        <v>42</v>
      </c>
      <c r="S126" s="1" t="s">
        <v>42</v>
      </c>
      <c r="T126" s="1" t="s">
        <v>43</v>
      </c>
      <c r="U126" s="1">
        <v>201</v>
      </c>
      <c r="V126" s="5">
        <v>44427</v>
      </c>
      <c r="W126" s="5">
        <v>44226</v>
      </c>
      <c r="X126" s="1">
        <v>5995000</v>
      </c>
      <c r="AB126" s="1" t="s">
        <v>44</v>
      </c>
      <c r="AF126" s="1">
        <v>10002</v>
      </c>
      <c r="AI126" s="1" t="s">
        <v>134</v>
      </c>
      <c r="AJ126" s="1">
        <v>2021</v>
      </c>
      <c r="AK126" s="1" t="s">
        <v>46</v>
      </c>
      <c r="AL126" s="1">
        <v>14</v>
      </c>
    </row>
    <row r="127" spans="1:38" x14ac:dyDescent="0.2">
      <c r="A127" s="2" t="str">
        <f>HYPERLINK("https://www.compass.com/listing/199-chrystie-street-unit-ph1-manhattan-ny-10002/784181207842163257/","199 Chrystie St, Unit PH1")</f>
        <v>199 Chrystie St, Unit PH1</v>
      </c>
      <c r="B127" s="2" t="str">
        <f t="shared" si="17"/>
        <v>199 Chrystie</v>
      </c>
      <c r="C127" s="1" t="s">
        <v>133</v>
      </c>
      <c r="D127" s="1" t="s">
        <v>41</v>
      </c>
      <c r="E127" s="3">
        <v>18350000</v>
      </c>
      <c r="F127" s="1">
        <v>3980.47722342733</v>
      </c>
      <c r="G127" s="1">
        <v>10</v>
      </c>
      <c r="H127" s="1">
        <v>6</v>
      </c>
      <c r="I127" s="1">
        <v>6</v>
      </c>
      <c r="J127" s="1">
        <v>6</v>
      </c>
      <c r="K127" s="1">
        <v>6</v>
      </c>
      <c r="M127" s="4">
        <v>4610</v>
      </c>
      <c r="N127" s="1">
        <v>10686</v>
      </c>
      <c r="O127" s="1">
        <v>16022</v>
      </c>
      <c r="P127" s="1">
        <v>5336</v>
      </c>
      <c r="Q127" s="1" t="s">
        <v>42</v>
      </c>
      <c r="S127" s="1" t="s">
        <v>42</v>
      </c>
      <c r="T127" s="1" t="s">
        <v>43</v>
      </c>
      <c r="U127" s="1">
        <v>94</v>
      </c>
      <c r="V127" s="5">
        <v>44424</v>
      </c>
      <c r="W127" s="5">
        <v>44333</v>
      </c>
      <c r="X127" s="1">
        <v>18350000</v>
      </c>
      <c r="AB127" s="1" t="s">
        <v>44</v>
      </c>
      <c r="AF127" s="1">
        <v>10002</v>
      </c>
      <c r="AI127" s="1" t="s">
        <v>135</v>
      </c>
      <c r="AJ127" s="1">
        <v>2021</v>
      </c>
      <c r="AK127" s="1" t="s">
        <v>86</v>
      </c>
      <c r="AL127" s="1">
        <v>14</v>
      </c>
    </row>
    <row r="128" spans="1:38" x14ac:dyDescent="0.2">
      <c r="A128" s="2" t="str">
        <f>HYPERLINK("https://www.compass.com/listing/10-madison-square-west-unit-2c-manhattan-ny-10010/825734430183053649/","10 Madison Sq W, Unit 2C")</f>
        <v>10 Madison Sq W, Unit 2C</v>
      </c>
      <c r="B128" s="2" t="str">
        <f t="shared" ref="B128:B129" si="18">HYPERLINK("https://www.compass.com/building/10-madison-square-west-manhattan-ny/294838725091521285/","10 Madison Square West")</f>
        <v>10 Madison Square West</v>
      </c>
      <c r="D128" s="1" t="s">
        <v>41</v>
      </c>
      <c r="E128" s="3">
        <v>3825000</v>
      </c>
      <c r="F128" s="1">
        <v>2669.2254012561002</v>
      </c>
      <c r="G128" s="1">
        <v>6</v>
      </c>
      <c r="H128" s="1">
        <v>2</v>
      </c>
      <c r="J128" s="1">
        <v>2.5</v>
      </c>
      <c r="M128" s="4">
        <v>1433</v>
      </c>
      <c r="N128" s="1">
        <v>1800</v>
      </c>
      <c r="O128" s="1">
        <v>3421</v>
      </c>
      <c r="P128" s="1">
        <v>1621</v>
      </c>
      <c r="S128" s="1" t="s">
        <v>42</v>
      </c>
      <c r="T128" s="1" t="s">
        <v>43</v>
      </c>
      <c r="U128" s="1">
        <v>36</v>
      </c>
      <c r="V128" s="5">
        <v>44422</v>
      </c>
      <c r="W128" s="5">
        <v>44391</v>
      </c>
      <c r="X128" s="1">
        <v>3825000</v>
      </c>
      <c r="AB128" s="1" t="s">
        <v>44</v>
      </c>
      <c r="AF128" s="1">
        <v>10010</v>
      </c>
      <c r="AI128" s="1" t="s">
        <v>45</v>
      </c>
      <c r="AJ128" s="1">
        <v>1915</v>
      </c>
      <c r="AK128" s="1" t="s">
        <v>49</v>
      </c>
      <c r="AL128" s="1">
        <v>125</v>
      </c>
    </row>
    <row r="129" spans="1:39" x14ac:dyDescent="0.2">
      <c r="A129" s="2" t="str">
        <f>HYPERLINK("https://www.compass.com/listing/10-madison-square-west-unit-3b-manhattan-ny-10010/604079422791921513/","10 Madison Sq W, Unit 3B")</f>
        <v>10 Madison Sq W, Unit 3B</v>
      </c>
      <c r="B129" s="2" t="str">
        <f t="shared" si="18"/>
        <v>10 Madison Square West</v>
      </c>
      <c r="C129" s="1" t="s">
        <v>56</v>
      </c>
      <c r="D129" s="1" t="s">
        <v>41</v>
      </c>
      <c r="E129" s="3">
        <v>4950000</v>
      </c>
      <c r="F129" s="1">
        <v>2449.2825333993001</v>
      </c>
      <c r="G129" s="1">
        <v>6</v>
      </c>
      <c r="H129" s="1">
        <v>3</v>
      </c>
      <c r="I129" s="1">
        <v>4</v>
      </c>
      <c r="J129" s="1">
        <v>3.5</v>
      </c>
      <c r="K129" s="1">
        <v>3</v>
      </c>
      <c r="L129" s="1">
        <v>1</v>
      </c>
      <c r="M129" s="4">
        <v>2021</v>
      </c>
      <c r="N129" s="1">
        <v>2589</v>
      </c>
      <c r="O129" s="1">
        <v>6797</v>
      </c>
      <c r="P129" s="1">
        <v>4208</v>
      </c>
      <c r="Q129" s="1" t="s">
        <v>42</v>
      </c>
      <c r="S129" s="1" t="s">
        <v>136</v>
      </c>
      <c r="T129" s="1" t="s">
        <v>43</v>
      </c>
      <c r="U129" s="1">
        <v>343</v>
      </c>
      <c r="V129" s="5">
        <v>44427</v>
      </c>
      <c r="W129" s="5">
        <v>44084</v>
      </c>
      <c r="X129" s="1">
        <v>4950000</v>
      </c>
      <c r="AB129" s="1" t="s">
        <v>44</v>
      </c>
      <c r="AF129" s="1">
        <v>10010</v>
      </c>
      <c r="AI129" s="1" t="s">
        <v>45</v>
      </c>
      <c r="AJ129" s="1">
        <v>1915</v>
      </c>
      <c r="AK129" s="1" t="s">
        <v>46</v>
      </c>
      <c r="AL129" s="1">
        <v>125</v>
      </c>
    </row>
    <row r="132" spans="1:39" x14ac:dyDescent="0.2">
      <c r="A132" s="1" t="s">
        <v>137</v>
      </c>
    </row>
    <row r="133" spans="1:39" x14ac:dyDescent="0.2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5</v>
      </c>
      <c r="F133" s="1" t="s">
        <v>6</v>
      </c>
      <c r="G133" s="1" t="s">
        <v>7</v>
      </c>
      <c r="H133" s="1" t="s">
        <v>8</v>
      </c>
      <c r="I133" s="1" t="s">
        <v>9</v>
      </c>
      <c r="J133" s="1" t="s">
        <v>10</v>
      </c>
      <c r="K133" s="1" t="s">
        <v>11</v>
      </c>
      <c r="L133" s="1" t="s">
        <v>12</v>
      </c>
      <c r="M133" s="1" t="s">
        <v>13</v>
      </c>
      <c r="N133" s="1" t="s">
        <v>14</v>
      </c>
      <c r="O133" s="1" t="s">
        <v>15</v>
      </c>
      <c r="P133" s="1" t="s">
        <v>16</v>
      </c>
      <c r="Q133" s="1" t="s">
        <v>17</v>
      </c>
      <c r="R133" s="1" t="s">
        <v>18</v>
      </c>
      <c r="S133" s="1" t="s">
        <v>19</v>
      </c>
      <c r="T133" s="1" t="s">
        <v>20</v>
      </c>
      <c r="U133" s="1" t="s">
        <v>21</v>
      </c>
      <c r="V133" s="1" t="s">
        <v>22</v>
      </c>
      <c r="W133" s="1" t="s">
        <v>23</v>
      </c>
      <c r="X133" s="1" t="s">
        <v>24</v>
      </c>
      <c r="Y133" s="1" t="s">
        <v>25</v>
      </c>
      <c r="Z133" s="1" t="s">
        <v>26</v>
      </c>
      <c r="AA133" s="1" t="s">
        <v>27</v>
      </c>
      <c r="AB133" s="1" t="s">
        <v>28</v>
      </c>
      <c r="AC133" s="1" t="s">
        <v>29</v>
      </c>
      <c r="AD133" s="1" t="s">
        <v>30</v>
      </c>
      <c r="AE133" s="1" t="s">
        <v>31</v>
      </c>
      <c r="AF133" s="1" t="s">
        <v>32</v>
      </c>
      <c r="AG133" s="1" t="s">
        <v>33</v>
      </c>
      <c r="AH133" s="1" t="s">
        <v>34</v>
      </c>
      <c r="AI133" s="1" t="s">
        <v>35</v>
      </c>
      <c r="AJ133" s="1" t="s">
        <v>36</v>
      </c>
      <c r="AK133" s="1" t="s">
        <v>37</v>
      </c>
      <c r="AL133" s="1" t="s">
        <v>38</v>
      </c>
      <c r="AM133" s="1" t="s">
        <v>39</v>
      </c>
    </row>
    <row r="134" spans="1:39" x14ac:dyDescent="0.2">
      <c r="A134" s="2" t="str">
        <f>HYPERLINK("https://www.compass.com/listing/192-8th-avenue-unit-5-manhattan-ny-10011/431019222140325921/","192 8th Ave, Unit 5")</f>
        <v>192 8th Ave, Unit 5</v>
      </c>
      <c r="B134" s="2" t="str">
        <f t="shared" ref="B134:B135" si="19">HYPERLINK("https://www.compass.com/building/novum-chelsea-manhattan-ny/281906392133029493/","Novum Chelsea")</f>
        <v>Novum Chelsea</v>
      </c>
      <c r="C134" s="1" t="s">
        <v>73</v>
      </c>
      <c r="D134" s="1" t="s">
        <v>41</v>
      </c>
      <c r="E134" s="3">
        <v>2375555</v>
      </c>
      <c r="F134" s="1">
        <v>1834.4054054054</v>
      </c>
      <c r="G134" s="1">
        <v>4</v>
      </c>
      <c r="H134" s="1">
        <v>2</v>
      </c>
      <c r="I134" s="1">
        <v>2</v>
      </c>
      <c r="J134" s="1">
        <v>2</v>
      </c>
      <c r="K134" s="1">
        <v>2</v>
      </c>
      <c r="M134" s="4">
        <v>1295</v>
      </c>
      <c r="N134" s="1">
        <v>661</v>
      </c>
      <c r="O134" s="1">
        <v>1441</v>
      </c>
      <c r="P134" s="1">
        <v>780</v>
      </c>
      <c r="S134" s="1" t="s">
        <v>42</v>
      </c>
      <c r="T134" s="1" t="s">
        <v>138</v>
      </c>
      <c r="U134" s="1">
        <v>70</v>
      </c>
      <c r="V134" s="5">
        <v>44424</v>
      </c>
      <c r="W134" s="5">
        <v>44335</v>
      </c>
      <c r="X134" s="1">
        <v>2375000</v>
      </c>
      <c r="Z134" s="5">
        <v>44424</v>
      </c>
      <c r="AB134" s="1" t="s">
        <v>44</v>
      </c>
      <c r="AF134" s="1">
        <v>10011</v>
      </c>
      <c r="AI134" s="1" t="s">
        <v>139</v>
      </c>
      <c r="AJ134" s="1">
        <v>2019</v>
      </c>
      <c r="AK134" s="1" t="s">
        <v>140</v>
      </c>
      <c r="AL134" s="1">
        <v>5</v>
      </c>
    </row>
    <row r="135" spans="1:39" x14ac:dyDescent="0.2">
      <c r="A135" s="2" t="str">
        <f>HYPERLINK("https://www.compass.com/listing/192-8th-avenue-unit-4-manhattan-ny-10011/587583317627875041/","192 8th Ave, Unit 4")</f>
        <v>192 8th Ave, Unit 4</v>
      </c>
      <c r="B135" s="2" t="str">
        <f t="shared" si="19"/>
        <v>Novum Chelsea</v>
      </c>
      <c r="C135" s="1" t="s">
        <v>73</v>
      </c>
      <c r="D135" s="1" t="s">
        <v>41</v>
      </c>
      <c r="E135" s="3">
        <v>2288888</v>
      </c>
      <c r="F135" s="1">
        <v>1767.48108108108</v>
      </c>
      <c r="G135" s="1">
        <v>4</v>
      </c>
      <c r="H135" s="1">
        <v>2</v>
      </c>
      <c r="I135" s="1">
        <v>2</v>
      </c>
      <c r="J135" s="1">
        <v>2</v>
      </c>
      <c r="K135" s="1">
        <v>2</v>
      </c>
      <c r="M135" s="4">
        <v>1295</v>
      </c>
      <c r="N135" s="1">
        <v>652</v>
      </c>
      <c r="O135" s="1">
        <v>1422</v>
      </c>
      <c r="P135" s="1">
        <v>770</v>
      </c>
      <c r="S135" s="1" t="s">
        <v>42</v>
      </c>
      <c r="T135" s="1" t="s">
        <v>138</v>
      </c>
      <c r="U135" s="1">
        <v>334</v>
      </c>
      <c r="V135" s="5">
        <v>44421</v>
      </c>
      <c r="W135" s="5">
        <v>44063</v>
      </c>
      <c r="X135" s="1">
        <v>2325000</v>
      </c>
      <c r="Z135" s="5">
        <v>44421</v>
      </c>
      <c r="AB135" s="1" t="s">
        <v>44</v>
      </c>
      <c r="AF135" s="1">
        <v>10011</v>
      </c>
      <c r="AI135" s="1" t="s">
        <v>139</v>
      </c>
      <c r="AJ135" s="1">
        <v>2019</v>
      </c>
      <c r="AL135" s="1">
        <v>5</v>
      </c>
    </row>
    <row r="136" spans="1:39" x14ac:dyDescent="0.2">
      <c r="A136" s="2" t="str">
        <f>HYPERLINK("https://www.compass.com/listing/15-hubert-street-unit-4c-manhattan-ny-10013/799289180339395225/","15 Hubert St, Unit 4C")</f>
        <v>15 Hubert St, Unit 4C</v>
      </c>
      <c r="B136" s="2" t="str">
        <f>HYPERLINK("https://www.compass.com/building/15-hubert-st-manhattan-ny-10013/281929572709086677/","15 Hubert St")</f>
        <v>15 Hubert St</v>
      </c>
      <c r="C136" s="1" t="s">
        <v>65</v>
      </c>
      <c r="D136" s="1" t="s">
        <v>41</v>
      </c>
      <c r="E136" s="3">
        <v>3495000</v>
      </c>
      <c r="F136" s="1">
        <v>1540.32613486117</v>
      </c>
      <c r="G136" s="1">
        <v>5</v>
      </c>
      <c r="H136" s="1">
        <v>2</v>
      </c>
      <c r="I136" s="1">
        <v>3</v>
      </c>
      <c r="J136" s="1">
        <v>2.5</v>
      </c>
      <c r="K136" s="1">
        <v>2</v>
      </c>
      <c r="L136" s="1">
        <v>1</v>
      </c>
      <c r="M136" s="4">
        <v>2269</v>
      </c>
      <c r="N136" s="1">
        <v>2466.08</v>
      </c>
      <c r="O136" s="1">
        <v>5552.08</v>
      </c>
      <c r="P136" s="1">
        <v>3086</v>
      </c>
      <c r="S136" s="1" t="s">
        <v>42</v>
      </c>
      <c r="T136" s="1" t="s">
        <v>138</v>
      </c>
      <c r="U136" s="1">
        <v>29</v>
      </c>
      <c r="V136" s="5">
        <v>44421</v>
      </c>
      <c r="W136" s="5">
        <v>44355</v>
      </c>
      <c r="X136" s="1">
        <v>3495000</v>
      </c>
      <c r="Z136" s="5">
        <v>44384</v>
      </c>
      <c r="AB136" s="1" t="s">
        <v>44</v>
      </c>
      <c r="AF136" s="1">
        <v>10013</v>
      </c>
      <c r="AI136" s="1" t="s">
        <v>107</v>
      </c>
      <c r="AJ136" s="1">
        <v>1867</v>
      </c>
      <c r="AK136" s="1" t="s">
        <v>59</v>
      </c>
      <c r="AL136" s="1">
        <v>13</v>
      </c>
    </row>
    <row r="137" spans="1:39" x14ac:dyDescent="0.2">
      <c r="A137" s="2" t="str">
        <f>HYPERLINK("https://www.compass.com/listing/101-leonard-street-unit-4e-manhattan-ny-10013/697813498983281865/","101 Leonard St, Unit 4E")</f>
        <v>101 Leonard St, Unit 4E</v>
      </c>
      <c r="B137" s="2" t="str">
        <f>HYPERLINK("https://www.compass.com/building/the-leonard-manhattan-ny/281919139939910965/","The Leonard")</f>
        <v>The Leonard</v>
      </c>
      <c r="C137" s="1" t="s">
        <v>65</v>
      </c>
      <c r="D137" s="1" t="s">
        <v>41</v>
      </c>
      <c r="E137" s="3">
        <v>2800000</v>
      </c>
      <c r="F137" s="1">
        <v>1426.3881813550599</v>
      </c>
      <c r="G137" s="1">
        <v>5</v>
      </c>
      <c r="H137" s="1">
        <v>3</v>
      </c>
      <c r="I137" s="1">
        <v>3</v>
      </c>
      <c r="J137" s="1">
        <v>3</v>
      </c>
      <c r="K137" s="1">
        <v>3</v>
      </c>
      <c r="M137" s="4">
        <v>1963</v>
      </c>
      <c r="N137" s="1">
        <v>2560</v>
      </c>
      <c r="O137" s="1">
        <v>5412</v>
      </c>
      <c r="P137" s="1">
        <v>2852</v>
      </c>
      <c r="S137" s="1" t="s">
        <v>42</v>
      </c>
      <c r="T137" s="1" t="s">
        <v>138</v>
      </c>
      <c r="U137" s="1">
        <v>170</v>
      </c>
      <c r="V137" s="5">
        <v>44412</v>
      </c>
      <c r="W137" s="5">
        <v>44215</v>
      </c>
      <c r="X137" s="1">
        <v>2900000</v>
      </c>
      <c r="Z137" s="5">
        <v>44412</v>
      </c>
      <c r="AB137" s="1" t="s">
        <v>44</v>
      </c>
      <c r="AF137" s="1">
        <v>10013</v>
      </c>
      <c r="AI137" s="1" t="s">
        <v>55</v>
      </c>
      <c r="AJ137" s="1">
        <v>2014</v>
      </c>
      <c r="AK137" s="1" t="s">
        <v>49</v>
      </c>
      <c r="AL137" s="1">
        <v>66</v>
      </c>
    </row>
    <row r="138" spans="1:39" x14ac:dyDescent="0.2">
      <c r="A138" s="2" t="str">
        <f>HYPERLINK("https://www.compass.com/listing/575-main-street-unit-801-manhattan-ny-10044/826067091212600689/","575 Main St, Unit 801")</f>
        <v>575 Main St, Unit 801</v>
      </c>
      <c r="B138" s="2" t="str">
        <f>HYPERLINK("https://www.compass.com/building/island-house-manhattan-ny/282065365649887429/","Island House")</f>
        <v>Island House</v>
      </c>
      <c r="C138" s="1" t="s">
        <v>116</v>
      </c>
      <c r="D138" s="1" t="s">
        <v>41</v>
      </c>
      <c r="E138" s="3">
        <v>522425</v>
      </c>
      <c r="F138" s="1">
        <v>650.59153175591496</v>
      </c>
      <c r="G138" s="1">
        <v>3.5</v>
      </c>
      <c r="H138" s="1">
        <v>1</v>
      </c>
      <c r="I138" s="1">
        <v>1</v>
      </c>
      <c r="J138" s="1">
        <v>1</v>
      </c>
      <c r="K138" s="1">
        <v>1</v>
      </c>
      <c r="M138" s="1">
        <v>803</v>
      </c>
      <c r="N138" s="1">
        <v>824.68</v>
      </c>
      <c r="O138" s="1">
        <v>824.68</v>
      </c>
      <c r="S138" s="1" t="s">
        <v>117</v>
      </c>
      <c r="T138" s="1" t="s">
        <v>138</v>
      </c>
      <c r="U138" s="1">
        <v>15</v>
      </c>
      <c r="V138" s="5">
        <v>44407</v>
      </c>
      <c r="W138" s="5">
        <v>44392</v>
      </c>
      <c r="X138" s="1">
        <v>522425</v>
      </c>
      <c r="Z138" s="5">
        <v>44407</v>
      </c>
      <c r="AB138" s="1" t="s">
        <v>44</v>
      </c>
      <c r="AF138" s="1">
        <v>10044</v>
      </c>
      <c r="AJ138" s="1">
        <v>1975</v>
      </c>
      <c r="AK138" s="1" t="s">
        <v>99</v>
      </c>
      <c r="AL138" s="1">
        <v>400</v>
      </c>
    </row>
    <row r="139" spans="1:39" x14ac:dyDescent="0.2">
      <c r="A139" s="2" t="str">
        <f>HYPERLINK("https://www.compass.com/listing/155-west-126th-street-unit-4a-manhattan-ny-10027/739828591713276337/","155 W 126th St, Unit 4A")</f>
        <v>155 W 126th St, Unit 4A</v>
      </c>
      <c r="B139" s="2" t="str">
        <f>HYPERLINK("https://www.compass.com/building/155-w-126th-st-manhattan-ny-10027/281979223730651925/","155 W 126th St")</f>
        <v>155 W 126th St</v>
      </c>
      <c r="C139" s="1" t="s">
        <v>141</v>
      </c>
      <c r="D139" s="1" t="s">
        <v>41</v>
      </c>
      <c r="E139" s="3">
        <v>695000</v>
      </c>
      <c r="F139" s="1">
        <v>1089.34169278996</v>
      </c>
      <c r="G139" s="1">
        <v>3.5</v>
      </c>
      <c r="H139" s="1">
        <v>1</v>
      </c>
      <c r="I139" s="1">
        <v>2</v>
      </c>
      <c r="J139" s="1">
        <v>1.5</v>
      </c>
      <c r="K139" s="1">
        <v>1</v>
      </c>
      <c r="L139" s="1">
        <v>1</v>
      </c>
      <c r="M139" s="1">
        <v>638</v>
      </c>
      <c r="N139" s="1">
        <v>269</v>
      </c>
      <c r="O139" s="1">
        <v>850.38</v>
      </c>
      <c r="P139" s="1">
        <v>581.41666666666595</v>
      </c>
      <c r="S139" s="1" t="s">
        <v>42</v>
      </c>
      <c r="T139" s="1" t="s">
        <v>138</v>
      </c>
      <c r="U139" s="1">
        <v>118</v>
      </c>
      <c r="V139" s="5">
        <v>44393</v>
      </c>
      <c r="W139" s="5">
        <v>44273</v>
      </c>
      <c r="X139" s="1">
        <v>749000</v>
      </c>
      <c r="Z139" s="5">
        <v>44392</v>
      </c>
      <c r="AB139" s="1" t="s">
        <v>44</v>
      </c>
      <c r="AF139" s="1">
        <v>10027</v>
      </c>
      <c r="AI139" s="1" t="s">
        <v>142</v>
      </c>
      <c r="AJ139" s="1">
        <v>1910</v>
      </c>
      <c r="AL139" s="1">
        <v>10</v>
      </c>
    </row>
    <row r="140" spans="1:39" x14ac:dyDescent="0.2">
      <c r="A140" s="2" t="str">
        <f>HYPERLINK("https://www.compass.com/listing/1325-5th-avenue-unit-6e-manhattan-ny-10029/784010092167362161/","1325 5th Ave, Unit 6E")</f>
        <v>1325 5th Ave, Unit 6E</v>
      </c>
      <c r="B140" s="2" t="str">
        <f>HYPERLINK("https://www.compass.com/building/the-fifth-avenue-manhattan-ny/294843719022876805/","The Fifth Avenue")</f>
        <v>The Fifth Avenue</v>
      </c>
      <c r="C140" s="1" t="s">
        <v>60</v>
      </c>
      <c r="D140" s="1" t="s">
        <v>41</v>
      </c>
      <c r="E140" s="3">
        <v>679000</v>
      </c>
      <c r="F140" s="1">
        <v>1055.98755832037</v>
      </c>
      <c r="G140" s="1">
        <v>4</v>
      </c>
      <c r="H140" s="1">
        <v>1</v>
      </c>
      <c r="I140" s="1">
        <v>1</v>
      </c>
      <c r="J140" s="1">
        <v>1</v>
      </c>
      <c r="K140" s="1">
        <v>1</v>
      </c>
      <c r="M140" s="1">
        <v>643</v>
      </c>
      <c r="N140" s="1">
        <v>791.07</v>
      </c>
      <c r="O140" s="1">
        <v>1240.07</v>
      </c>
      <c r="P140" s="1">
        <v>449</v>
      </c>
      <c r="S140" s="1" t="s">
        <v>42</v>
      </c>
      <c r="T140" s="1" t="s">
        <v>138</v>
      </c>
      <c r="U140" s="1">
        <v>58</v>
      </c>
      <c r="V140" s="5">
        <v>44392</v>
      </c>
      <c r="W140" s="5">
        <v>44334</v>
      </c>
      <c r="X140" s="1">
        <v>699000</v>
      </c>
      <c r="Z140" s="5">
        <v>44392</v>
      </c>
      <c r="AB140" s="1" t="s">
        <v>44</v>
      </c>
      <c r="AF140" s="1">
        <v>10029</v>
      </c>
      <c r="AI140" s="1" t="s">
        <v>143</v>
      </c>
      <c r="AJ140" s="1">
        <v>1989</v>
      </c>
      <c r="AK140" s="1" t="s">
        <v>49</v>
      </c>
      <c r="AL140" s="1">
        <v>71</v>
      </c>
    </row>
    <row r="141" spans="1:39" x14ac:dyDescent="0.2">
      <c r="A141" s="2" t="str">
        <f>HYPERLINK("https://www.compass.com/listing/2457-frederick-douglass-boulevard-unit-5b-manhattan-ny-10027/704943232960498657/","2457 Frederick Douglass Blvd, Unit 5B")</f>
        <v>2457 Frederick Douglass Blvd, Unit 5B</v>
      </c>
      <c r="B141" s="2" t="str">
        <f>HYPERLINK("https://www.compass.com/building/2457-frederick-douglass-blvd-manhattan-ny-10027/293531002213539157/","2457 Frederick Douglass Blvd")</f>
        <v>2457 Frederick Douglass Blvd</v>
      </c>
      <c r="C141" s="1" t="s">
        <v>141</v>
      </c>
      <c r="D141" s="1" t="s">
        <v>41</v>
      </c>
      <c r="E141" s="3">
        <v>1250000</v>
      </c>
      <c r="F141" s="1">
        <v>852.07907293796802</v>
      </c>
      <c r="G141" s="1">
        <v>4</v>
      </c>
      <c r="H141" s="1">
        <v>2</v>
      </c>
      <c r="I141" s="1">
        <v>2</v>
      </c>
      <c r="J141" s="1">
        <v>2</v>
      </c>
      <c r="K141" s="1">
        <v>2</v>
      </c>
      <c r="M141" s="4">
        <v>1467</v>
      </c>
      <c r="N141" s="1">
        <v>793</v>
      </c>
      <c r="O141" s="1">
        <v>1046</v>
      </c>
      <c r="P141" s="1">
        <v>253</v>
      </c>
      <c r="S141" s="1" t="s">
        <v>42</v>
      </c>
      <c r="T141" s="1" t="s">
        <v>138</v>
      </c>
      <c r="U141" s="1">
        <v>78</v>
      </c>
      <c r="V141" s="5">
        <v>44303</v>
      </c>
      <c r="W141" s="5">
        <v>44224</v>
      </c>
      <c r="X141" s="1">
        <v>1275000</v>
      </c>
      <c r="Z141" s="5">
        <v>44303</v>
      </c>
      <c r="AB141" s="1" t="s">
        <v>44</v>
      </c>
      <c r="AF141" s="1">
        <v>10027</v>
      </c>
      <c r="AI141" s="1" t="s">
        <v>107</v>
      </c>
      <c r="AJ141" s="1">
        <v>2019</v>
      </c>
      <c r="AL141" s="1">
        <v>1</v>
      </c>
    </row>
    <row r="142" spans="1:39" x14ac:dyDescent="0.2">
      <c r="A142" s="2" t="str">
        <f>HYPERLINK("https://www.compass.com/listing/2-park-place-unit-36b-manhattan-ny-10007/831853441800363801/","2 Park Pl, Unit 36B")</f>
        <v>2 Park Pl, Unit 36B</v>
      </c>
      <c r="B142" s="2" t="str">
        <f t="shared" ref="B142:B143" si="20">HYPERLINK("https://www.compass.com/building/the-woolworth-tower-residences-manhattan-ny/294842395015266853/","The Woolworth Tower Residences")</f>
        <v>The Woolworth Tower Residences</v>
      </c>
      <c r="C142" s="1" t="s">
        <v>65</v>
      </c>
      <c r="D142" s="1" t="s">
        <v>41</v>
      </c>
      <c r="E142" s="3">
        <v>5575000</v>
      </c>
      <c r="F142" s="1">
        <v>2187.9905808477201</v>
      </c>
      <c r="G142" s="1">
        <v>4</v>
      </c>
      <c r="H142" s="1">
        <v>2</v>
      </c>
      <c r="I142" s="1">
        <v>3</v>
      </c>
      <c r="J142" s="1">
        <v>2.5</v>
      </c>
      <c r="K142" s="1">
        <v>2</v>
      </c>
      <c r="L142" s="1">
        <v>1</v>
      </c>
      <c r="M142" s="4">
        <v>2548</v>
      </c>
      <c r="N142" s="1">
        <v>4393</v>
      </c>
      <c r="O142" s="1">
        <v>7983</v>
      </c>
      <c r="P142" s="1">
        <v>3590</v>
      </c>
      <c r="Q142" s="1" t="s">
        <v>42</v>
      </c>
      <c r="S142" s="1" t="s">
        <v>42</v>
      </c>
      <c r="T142" s="1" t="s">
        <v>138</v>
      </c>
      <c r="V142" s="5">
        <v>44425</v>
      </c>
      <c r="W142" s="5">
        <v>44400</v>
      </c>
      <c r="X142" s="1">
        <v>5575000</v>
      </c>
      <c r="Z142" s="5">
        <v>44400</v>
      </c>
      <c r="AB142" s="1" t="s">
        <v>44</v>
      </c>
      <c r="AF142" s="1">
        <v>10007</v>
      </c>
      <c r="AJ142" s="1">
        <v>1913</v>
      </c>
      <c r="AK142" s="1" t="s">
        <v>46</v>
      </c>
      <c r="AL142" s="1">
        <v>32</v>
      </c>
    </row>
    <row r="143" spans="1:39" x14ac:dyDescent="0.2">
      <c r="A143" s="2" t="str">
        <f>HYPERLINK("https://www.compass.com/listing/2-park-place-unit-39b-manhattan-ny-10007/821777045917016417/","2 Park Pl, Unit 39B")</f>
        <v>2 Park Pl, Unit 39B</v>
      </c>
      <c r="B143" s="2" t="str">
        <f t="shared" si="20"/>
        <v>The Woolworth Tower Residences</v>
      </c>
      <c r="C143" s="1" t="s">
        <v>65</v>
      </c>
      <c r="D143" s="1" t="s">
        <v>41</v>
      </c>
      <c r="E143" s="3">
        <v>5695000</v>
      </c>
      <c r="F143" s="1">
        <v>2235.08634222919</v>
      </c>
      <c r="G143" s="1">
        <v>4</v>
      </c>
      <c r="H143" s="1">
        <v>2</v>
      </c>
      <c r="I143" s="1">
        <v>3</v>
      </c>
      <c r="J143" s="1">
        <v>2.5</v>
      </c>
      <c r="K143" s="1">
        <v>2</v>
      </c>
      <c r="L143" s="1">
        <v>1</v>
      </c>
      <c r="M143" s="4">
        <v>2548</v>
      </c>
      <c r="N143" s="1">
        <v>4393</v>
      </c>
      <c r="O143" s="1">
        <v>7983</v>
      </c>
      <c r="P143" s="1">
        <v>3590</v>
      </c>
      <c r="Q143" s="1" t="s">
        <v>42</v>
      </c>
      <c r="S143" s="1" t="s">
        <v>42</v>
      </c>
      <c r="T143" s="1" t="s">
        <v>138</v>
      </c>
      <c r="V143" s="5">
        <v>44425</v>
      </c>
      <c r="W143" s="5">
        <v>44386</v>
      </c>
      <c r="X143" s="1">
        <v>5695000</v>
      </c>
      <c r="Z143" s="5">
        <v>44386</v>
      </c>
      <c r="AB143" s="1" t="s">
        <v>44</v>
      </c>
      <c r="AF143" s="1">
        <v>10007</v>
      </c>
      <c r="AJ143" s="1">
        <v>1913</v>
      </c>
      <c r="AK143" s="1" t="s">
        <v>46</v>
      </c>
      <c r="AL143" s="1">
        <v>32</v>
      </c>
    </row>
    <row r="144" spans="1:39" x14ac:dyDescent="0.2">
      <c r="A144" s="2" t="str">
        <f>HYPERLINK("https://www.compass.com/listing/71-laight-street-unit-6c-manhattan-ny-10013/820825373799395249/","71 Laight St, Unit 6C")</f>
        <v>71 Laight St, Unit 6C</v>
      </c>
      <c r="B144" s="2" t="str">
        <f>HYPERLINK("https://www.compass.com/building/the-sterling-mason-manhattan-ny/281919618778432805/","The Sterling Mason")</f>
        <v>The Sterling Mason</v>
      </c>
      <c r="C144" s="1" t="s">
        <v>65</v>
      </c>
      <c r="D144" s="1" t="s">
        <v>41</v>
      </c>
      <c r="E144" s="3">
        <v>14495000</v>
      </c>
      <c r="F144" s="1">
        <v>3451.1904761904698</v>
      </c>
      <c r="G144" s="1">
        <v>10</v>
      </c>
      <c r="H144" s="1">
        <v>4</v>
      </c>
      <c r="J144" s="1">
        <v>4.5</v>
      </c>
      <c r="M144" s="4">
        <v>4200</v>
      </c>
      <c r="O144" s="1">
        <v>5122</v>
      </c>
      <c r="P144" s="1">
        <v>5122</v>
      </c>
      <c r="S144" s="1" t="s">
        <v>42</v>
      </c>
      <c r="T144" s="1" t="s">
        <v>138</v>
      </c>
      <c r="U144" s="1">
        <v>13</v>
      </c>
      <c r="V144" s="5">
        <v>44399</v>
      </c>
      <c r="W144" s="5">
        <v>44384</v>
      </c>
      <c r="X144" s="1">
        <v>14495000</v>
      </c>
      <c r="Z144" s="5">
        <v>44398</v>
      </c>
      <c r="AB144" s="1" t="s">
        <v>44</v>
      </c>
      <c r="AF144" s="1">
        <v>10013</v>
      </c>
      <c r="AI144" s="1" t="s">
        <v>66</v>
      </c>
      <c r="AJ144" s="1">
        <v>2015</v>
      </c>
      <c r="AK144" s="1" t="s">
        <v>49</v>
      </c>
      <c r="AL144" s="1">
        <v>33</v>
      </c>
    </row>
    <row r="145" spans="1:38" x14ac:dyDescent="0.2">
      <c r="A145" s="2" t="str">
        <f>HYPERLINK("https://www.compass.com/listing/738-broadway-unit-3-manhattan-ny-10003/765933939702948137/","738 Broadway, Unit 3")</f>
        <v>738 Broadway, Unit 3</v>
      </c>
      <c r="B145" s="2" t="str">
        <f>HYPERLINK("https://www.compass.com/building/738-broadway-manhattan-ny-10003/281894757351825157/","738 Broadway")</f>
        <v>738 Broadway</v>
      </c>
      <c r="C145" s="1" t="s">
        <v>144</v>
      </c>
      <c r="D145" s="1" t="s">
        <v>41</v>
      </c>
      <c r="E145" s="3">
        <v>3995000</v>
      </c>
      <c r="F145" s="1">
        <v>1667.36227045075</v>
      </c>
      <c r="G145" s="1">
        <v>4</v>
      </c>
      <c r="H145" s="1">
        <v>2</v>
      </c>
      <c r="I145" s="1">
        <v>3</v>
      </c>
      <c r="J145" s="1">
        <v>3</v>
      </c>
      <c r="K145" s="1">
        <v>3</v>
      </c>
      <c r="M145" s="4">
        <v>2396</v>
      </c>
      <c r="N145" s="1">
        <v>2383</v>
      </c>
      <c r="O145" s="1">
        <v>3451</v>
      </c>
      <c r="P145" s="1">
        <v>1068</v>
      </c>
      <c r="Q145" s="1" t="s">
        <v>42</v>
      </c>
      <c r="S145" s="1" t="s">
        <v>42</v>
      </c>
      <c r="T145" s="1" t="s">
        <v>138</v>
      </c>
      <c r="U145" s="1">
        <v>81</v>
      </c>
      <c r="V145" s="5">
        <v>44405</v>
      </c>
      <c r="W145" s="5">
        <v>44309</v>
      </c>
      <c r="X145" s="1">
        <v>3995000</v>
      </c>
      <c r="Z145" s="5">
        <v>44390</v>
      </c>
      <c r="AB145" s="1" t="s">
        <v>44</v>
      </c>
      <c r="AF145" s="1">
        <v>10003</v>
      </c>
      <c r="AJ145" s="1">
        <v>1900</v>
      </c>
      <c r="AL145" s="1">
        <v>4</v>
      </c>
    </row>
    <row r="146" spans="1:38" x14ac:dyDescent="0.2">
      <c r="A146" s="2" t="str">
        <f>HYPERLINK("https://www.compass.com/listing/543-west-122nd-street-unit-20g-manhattan-ny-10027/845517442615204529/","543 W 122nd St, Unit 20G")</f>
        <v>543 W 122nd St, Unit 20G</v>
      </c>
      <c r="B146" s="2" t="str">
        <f>HYPERLINK("https://www.compass.com/building/vandewater-manhattan-ny/282058681657361477/","Vandewater")</f>
        <v>Vandewater</v>
      </c>
      <c r="C146" s="1" t="s">
        <v>95</v>
      </c>
      <c r="D146" s="1" t="s">
        <v>41</v>
      </c>
      <c r="E146" s="3">
        <v>3250000</v>
      </c>
      <c r="F146" s="1">
        <v>1743.5622317596501</v>
      </c>
      <c r="G146" s="1">
        <v>6</v>
      </c>
      <c r="H146" s="1">
        <v>3</v>
      </c>
      <c r="I146" s="1">
        <v>3</v>
      </c>
      <c r="J146" s="1">
        <v>2.5</v>
      </c>
      <c r="K146" s="1">
        <v>2</v>
      </c>
      <c r="L146" s="1">
        <v>1</v>
      </c>
      <c r="M146" s="4">
        <v>1864</v>
      </c>
      <c r="N146" s="1">
        <v>1829</v>
      </c>
      <c r="O146" s="1">
        <v>4023</v>
      </c>
      <c r="P146" s="1">
        <v>2194</v>
      </c>
      <c r="Q146" s="1" t="s">
        <v>42</v>
      </c>
      <c r="S146" s="1" t="s">
        <v>42</v>
      </c>
      <c r="T146" s="1" t="s">
        <v>138</v>
      </c>
      <c r="U146" s="1">
        <v>1</v>
      </c>
      <c r="V146" s="5">
        <v>44419</v>
      </c>
      <c r="W146" s="5">
        <v>44417</v>
      </c>
      <c r="X146" s="1">
        <v>3250000</v>
      </c>
      <c r="Z146" s="5">
        <v>44418</v>
      </c>
      <c r="AB146" s="1" t="s">
        <v>44</v>
      </c>
      <c r="AF146" s="1">
        <v>10027</v>
      </c>
      <c r="AI146" s="1" t="s">
        <v>96</v>
      </c>
      <c r="AJ146" s="1">
        <v>2019</v>
      </c>
      <c r="AK146" s="1" t="s">
        <v>46</v>
      </c>
      <c r="AL146" s="1">
        <v>183</v>
      </c>
    </row>
    <row r="147" spans="1:38" x14ac:dyDescent="0.2">
      <c r="A147" s="2" t="str">
        <f>HYPERLINK("https://www.compass.com/listing/15-hubert-street-unit-4c-manhattan-ny-10013/800081751567384097/","15 Hubert St, Unit 4C")</f>
        <v>15 Hubert St, Unit 4C</v>
      </c>
      <c r="B147" s="2" t="str">
        <f>HYPERLINK("https://www.compass.com/building/15-hubert-st-manhattan-ny-10013/281929572709086677/","15 Hubert St")</f>
        <v>15 Hubert St</v>
      </c>
      <c r="C147" s="1" t="s">
        <v>65</v>
      </c>
      <c r="D147" s="1" t="s">
        <v>41</v>
      </c>
      <c r="E147" s="3">
        <v>3495000</v>
      </c>
      <c r="F147" s="1">
        <v>1540.32613486117</v>
      </c>
      <c r="G147" s="1">
        <v>5</v>
      </c>
      <c r="H147" s="1">
        <v>2</v>
      </c>
      <c r="I147" s="1">
        <v>2</v>
      </c>
      <c r="J147" s="1">
        <v>2</v>
      </c>
      <c r="K147" s="1">
        <v>2</v>
      </c>
      <c r="M147" s="4">
        <v>2269</v>
      </c>
      <c r="N147" s="1">
        <v>2466</v>
      </c>
      <c r="O147" s="1">
        <v>5552</v>
      </c>
      <c r="P147" s="1">
        <v>3086</v>
      </c>
      <c r="Q147" s="1" t="s">
        <v>42</v>
      </c>
      <c r="S147" s="1" t="s">
        <v>42</v>
      </c>
      <c r="T147" s="1" t="s">
        <v>138</v>
      </c>
      <c r="U147" s="1">
        <v>30</v>
      </c>
      <c r="V147" s="5">
        <v>44427</v>
      </c>
      <c r="W147" s="5">
        <v>44355</v>
      </c>
      <c r="X147" s="1">
        <v>3495000</v>
      </c>
      <c r="Z147" s="5">
        <v>44386</v>
      </c>
      <c r="AB147" s="1" t="s">
        <v>44</v>
      </c>
      <c r="AF147" s="1">
        <v>10013</v>
      </c>
      <c r="AI147" s="1" t="s">
        <v>145</v>
      </c>
      <c r="AJ147" s="1">
        <v>1867</v>
      </c>
      <c r="AK147" s="1" t="s">
        <v>59</v>
      </c>
      <c r="AL147" s="1">
        <v>13</v>
      </c>
    </row>
    <row r="148" spans="1:38" x14ac:dyDescent="0.2">
      <c r="A148" s="2" t="str">
        <f>HYPERLINK("https://www.compass.com/listing/750-riverside-drive-unit-1b-manhattan-ny-10031/830341186377241113/","750 Riverside Dr, Unit 1B")</f>
        <v>750 Riverside Dr, Unit 1B</v>
      </c>
      <c r="B148" s="2" t="str">
        <f>HYPERLINK("https://www.compass.com/building/750-riverside-dr-manhattan-ny-10031/282003523909053237/","750 Riverside Dr")</f>
        <v>750 Riverside Dr</v>
      </c>
      <c r="C148" s="1" t="s">
        <v>82</v>
      </c>
      <c r="D148" s="1" t="s">
        <v>41</v>
      </c>
      <c r="E148" s="3">
        <v>389000</v>
      </c>
      <c r="F148" s="1">
        <v>733.96226415094304</v>
      </c>
      <c r="G148" s="1">
        <v>3</v>
      </c>
      <c r="H148" s="1">
        <v>1</v>
      </c>
      <c r="I148" s="1">
        <v>1</v>
      </c>
      <c r="J148" s="1">
        <v>1</v>
      </c>
      <c r="K148" s="1">
        <v>1</v>
      </c>
      <c r="M148" s="1">
        <v>530</v>
      </c>
      <c r="N148" s="1">
        <v>499</v>
      </c>
      <c r="O148" s="1">
        <v>704</v>
      </c>
      <c r="P148" s="1">
        <v>205</v>
      </c>
      <c r="Q148" s="1" t="s">
        <v>42</v>
      </c>
      <c r="S148" s="1" t="s">
        <v>42</v>
      </c>
      <c r="T148" s="1" t="s">
        <v>138</v>
      </c>
      <c r="U148" s="1">
        <v>20</v>
      </c>
      <c r="V148" s="5">
        <v>44419</v>
      </c>
      <c r="W148" s="5">
        <v>44397</v>
      </c>
      <c r="X148" s="1">
        <v>389000</v>
      </c>
      <c r="Z148" s="5">
        <v>44418</v>
      </c>
      <c r="AB148" s="1" t="s">
        <v>44</v>
      </c>
      <c r="AF148" s="1">
        <v>10031</v>
      </c>
      <c r="AJ148" s="1">
        <v>1920</v>
      </c>
      <c r="AL148" s="1">
        <v>42</v>
      </c>
    </row>
    <row r="149" spans="1:38" x14ac:dyDescent="0.2">
      <c r="A149" s="2" t="str">
        <f>HYPERLINK("https://www.compass.com/listing/110-charlton-street-unit-12f-manhattan-ny-10014/784186399127736529/","110 Charlton St, Unit 12F")</f>
        <v>110 Charlton St, Unit 12F</v>
      </c>
      <c r="B149" s="2" t="str">
        <f t="shared" ref="B149:B151" si="21">HYPERLINK("https://www.compass.com/building/greenwich-west-manhattan-ny/282058690331179733/","Greenwich West")</f>
        <v>Greenwich West</v>
      </c>
      <c r="C149" s="1" t="s">
        <v>72</v>
      </c>
      <c r="D149" s="1" t="s">
        <v>41</v>
      </c>
      <c r="E149" s="3">
        <v>1845000</v>
      </c>
      <c r="F149" s="1">
        <v>1854.2713567839101</v>
      </c>
      <c r="G149" s="1">
        <v>3</v>
      </c>
      <c r="H149" s="1">
        <v>1</v>
      </c>
      <c r="I149" s="1">
        <v>2</v>
      </c>
      <c r="J149" s="1">
        <v>1.5</v>
      </c>
      <c r="K149" s="1">
        <v>1</v>
      </c>
      <c r="L149" s="1">
        <v>1</v>
      </c>
      <c r="M149" s="1">
        <v>995</v>
      </c>
      <c r="N149" s="1">
        <v>895</v>
      </c>
      <c r="O149" s="1">
        <v>3054</v>
      </c>
      <c r="P149" s="1">
        <v>2159</v>
      </c>
      <c r="Q149" s="1" t="s">
        <v>42</v>
      </c>
      <c r="S149" s="1" t="s">
        <v>42</v>
      </c>
      <c r="T149" s="1" t="s">
        <v>138</v>
      </c>
      <c r="U149" s="1">
        <v>91</v>
      </c>
      <c r="V149" s="5">
        <v>44424</v>
      </c>
      <c r="W149" s="5">
        <v>44333</v>
      </c>
      <c r="X149" s="1">
        <v>1845000</v>
      </c>
      <c r="Z149" s="5">
        <v>44424</v>
      </c>
      <c r="AB149" s="1" t="s">
        <v>44</v>
      </c>
      <c r="AF149" s="1">
        <v>10014</v>
      </c>
      <c r="AI149" s="1" t="s">
        <v>51</v>
      </c>
      <c r="AJ149" s="1">
        <v>2020</v>
      </c>
      <c r="AK149" s="1" t="s">
        <v>46</v>
      </c>
      <c r="AL149" s="1">
        <v>170</v>
      </c>
    </row>
    <row r="150" spans="1:38" x14ac:dyDescent="0.2">
      <c r="A150" s="2" t="str">
        <f>HYPERLINK("https://www.compass.com/listing/110-charlton-street-unit-24b-manhattan-ny-10014/784186397584424489/","110 Charlton St, Unit 24B")</f>
        <v>110 Charlton St, Unit 24B</v>
      </c>
      <c r="B150" s="2" t="str">
        <f t="shared" si="21"/>
        <v>Greenwich West</v>
      </c>
      <c r="C150" s="1" t="s">
        <v>72</v>
      </c>
      <c r="D150" s="1" t="s">
        <v>41</v>
      </c>
      <c r="E150" s="3">
        <v>3675000</v>
      </c>
      <c r="F150" s="1">
        <v>2573.5294117646999</v>
      </c>
      <c r="G150" s="1">
        <v>4</v>
      </c>
      <c r="H150" s="1">
        <v>2</v>
      </c>
      <c r="I150" s="1">
        <v>3</v>
      </c>
      <c r="J150" s="1">
        <v>2.5</v>
      </c>
      <c r="K150" s="1">
        <v>2</v>
      </c>
      <c r="L150" s="1">
        <v>1</v>
      </c>
      <c r="M150" s="4">
        <v>1428</v>
      </c>
      <c r="N150" s="1">
        <v>1284</v>
      </c>
      <c r="O150" s="1">
        <v>4382</v>
      </c>
      <c r="P150" s="1">
        <v>3098</v>
      </c>
      <c r="Q150" s="1" t="s">
        <v>42</v>
      </c>
      <c r="S150" s="1" t="s">
        <v>42</v>
      </c>
      <c r="T150" s="1" t="s">
        <v>138</v>
      </c>
      <c r="U150" s="1">
        <v>79</v>
      </c>
      <c r="V150" s="5">
        <v>44427</v>
      </c>
      <c r="W150" s="5">
        <v>44333</v>
      </c>
      <c r="X150" s="1">
        <v>3675000</v>
      </c>
      <c r="Z150" s="5">
        <v>44413</v>
      </c>
      <c r="AB150" s="1" t="s">
        <v>44</v>
      </c>
      <c r="AF150" s="1">
        <v>10014</v>
      </c>
      <c r="AI150" s="1" t="s">
        <v>51</v>
      </c>
      <c r="AJ150" s="1">
        <v>2020</v>
      </c>
      <c r="AK150" s="1" t="s">
        <v>46</v>
      </c>
      <c r="AL150" s="1">
        <v>170</v>
      </c>
    </row>
    <row r="151" spans="1:38" x14ac:dyDescent="0.2">
      <c r="A151" s="2" t="str">
        <f>HYPERLINK("https://www.compass.com/listing/110-charlton-street-unit-25e-manhattan-ny-10014/715433136518129473/","110 Charlton St, Unit 25E")</f>
        <v>110 Charlton St, Unit 25E</v>
      </c>
      <c r="B151" s="2" t="str">
        <f t="shared" si="21"/>
        <v>Greenwich West</v>
      </c>
      <c r="C151" s="1" t="s">
        <v>72</v>
      </c>
      <c r="D151" s="1" t="s">
        <v>41</v>
      </c>
      <c r="E151" s="3">
        <v>2770000</v>
      </c>
      <c r="F151" s="1">
        <v>2355.4421768707398</v>
      </c>
      <c r="G151" s="1">
        <v>4</v>
      </c>
      <c r="H151" s="1">
        <v>2</v>
      </c>
      <c r="I151" s="1">
        <v>2</v>
      </c>
      <c r="J151" s="1">
        <v>2</v>
      </c>
      <c r="K151" s="1">
        <v>2</v>
      </c>
      <c r="M151" s="4">
        <v>1176</v>
      </c>
      <c r="N151" s="1">
        <v>1058</v>
      </c>
      <c r="O151" s="1">
        <v>3372</v>
      </c>
      <c r="P151" s="1">
        <v>2314</v>
      </c>
      <c r="Q151" s="1" t="s">
        <v>42</v>
      </c>
      <c r="S151" s="1" t="s">
        <v>42</v>
      </c>
      <c r="T151" s="1" t="s">
        <v>138</v>
      </c>
      <c r="U151" s="1">
        <v>99</v>
      </c>
      <c r="V151" s="5">
        <v>44427</v>
      </c>
      <c r="W151" s="5">
        <v>44238</v>
      </c>
      <c r="X151" s="1">
        <v>2740000</v>
      </c>
      <c r="Z151" s="5">
        <v>44338</v>
      </c>
      <c r="AB151" s="1" t="s">
        <v>44</v>
      </c>
      <c r="AF151" s="1">
        <v>10014</v>
      </c>
      <c r="AI151" s="1" t="s">
        <v>51</v>
      </c>
      <c r="AJ151" s="1">
        <v>2020</v>
      </c>
      <c r="AK151" s="1" t="s">
        <v>46</v>
      </c>
      <c r="AL151" s="1">
        <v>170</v>
      </c>
    </row>
    <row r="152" spans="1:38" x14ac:dyDescent="0.2">
      <c r="A152" s="2" t="str">
        <f>HYPERLINK("https://www.compass.com/listing/500-west-25th-street-unit-7-manhattan-ny-10001/776052599561699361/","500 W 25th St, Unit 7")</f>
        <v>500 W 25th St, Unit 7</v>
      </c>
      <c r="B152" s="2" t="str">
        <f t="shared" ref="B152:B153" si="22">HYPERLINK("https://www.compass.com/building/the-emerson-manhattan-ny/282059788475465749/","The Emerson")</f>
        <v>The Emerson</v>
      </c>
      <c r="C152" s="1" t="s">
        <v>73</v>
      </c>
      <c r="D152" s="1" t="s">
        <v>41</v>
      </c>
      <c r="E152" s="3">
        <v>4500000</v>
      </c>
      <c r="F152" s="1">
        <v>1894.7368421052599</v>
      </c>
      <c r="G152" s="1">
        <v>6</v>
      </c>
      <c r="H152" s="1">
        <v>3</v>
      </c>
      <c r="I152" s="1">
        <v>3</v>
      </c>
      <c r="J152" s="1">
        <v>3</v>
      </c>
      <c r="K152" s="1">
        <v>3</v>
      </c>
      <c r="M152" s="4">
        <v>2375</v>
      </c>
      <c r="N152" s="1">
        <v>2069</v>
      </c>
      <c r="O152" s="1">
        <v>5621</v>
      </c>
      <c r="P152" s="1">
        <v>3552</v>
      </c>
      <c r="Q152" s="1" t="s">
        <v>42</v>
      </c>
      <c r="S152" s="1" t="s">
        <v>42</v>
      </c>
      <c r="T152" s="1" t="s">
        <v>138</v>
      </c>
      <c r="U152" s="1">
        <v>75</v>
      </c>
      <c r="V152" s="5">
        <v>44427</v>
      </c>
      <c r="W152" s="5">
        <v>44321</v>
      </c>
      <c r="X152" s="1">
        <v>4500000</v>
      </c>
      <c r="Z152" s="5">
        <v>44397</v>
      </c>
      <c r="AB152" s="1" t="s">
        <v>44</v>
      </c>
      <c r="AF152" s="1">
        <v>10001</v>
      </c>
      <c r="AI152" s="1" t="s">
        <v>75</v>
      </c>
      <c r="AJ152" s="1">
        <v>2020</v>
      </c>
      <c r="AK152" s="1" t="s">
        <v>76</v>
      </c>
      <c r="AL152" s="1">
        <v>8</v>
      </c>
    </row>
    <row r="153" spans="1:38" x14ac:dyDescent="0.2">
      <c r="A153" s="2" t="str">
        <f>HYPERLINK("https://www.compass.com/listing/500-west-25th-street-unit-8-manhattan-ny-10001/556305672243961681/","500 W 25th St, Unit 8")</f>
        <v>500 W 25th St, Unit 8</v>
      </c>
      <c r="B153" s="2" t="str">
        <f t="shared" si="22"/>
        <v>The Emerson</v>
      </c>
      <c r="C153" s="1" t="s">
        <v>73</v>
      </c>
      <c r="D153" s="1" t="s">
        <v>41</v>
      </c>
      <c r="E153" s="3">
        <v>5995000</v>
      </c>
      <c r="F153" s="1">
        <v>2524.21052631578</v>
      </c>
      <c r="G153" s="1">
        <v>6</v>
      </c>
      <c r="H153" s="1">
        <v>3</v>
      </c>
      <c r="I153" s="1">
        <v>3</v>
      </c>
      <c r="J153" s="1">
        <v>3</v>
      </c>
      <c r="K153" s="1">
        <v>3</v>
      </c>
      <c r="M153" s="4">
        <v>2375</v>
      </c>
      <c r="N153" s="1">
        <v>2125</v>
      </c>
      <c r="O153" s="1">
        <v>5773</v>
      </c>
      <c r="P153" s="1">
        <v>3648</v>
      </c>
      <c r="Q153" s="1" t="s">
        <v>42</v>
      </c>
      <c r="S153" s="1" t="s">
        <v>42</v>
      </c>
      <c r="T153" s="1" t="s">
        <v>138</v>
      </c>
      <c r="U153" s="1">
        <v>86</v>
      </c>
      <c r="V153" s="5">
        <v>44427</v>
      </c>
      <c r="W153" s="5">
        <v>44013</v>
      </c>
      <c r="X153" s="1">
        <v>5995000</v>
      </c>
      <c r="Z153" s="5">
        <v>44362</v>
      </c>
      <c r="AB153" s="1" t="s">
        <v>44</v>
      </c>
      <c r="AF153" s="1">
        <v>10001</v>
      </c>
      <c r="AI153" s="1" t="s">
        <v>146</v>
      </c>
      <c r="AJ153" s="1">
        <v>2020</v>
      </c>
      <c r="AK153" s="1" t="s">
        <v>76</v>
      </c>
      <c r="AL153" s="1">
        <v>8</v>
      </c>
    </row>
    <row r="154" spans="1:38" x14ac:dyDescent="0.2">
      <c r="A154" s="2" t="str">
        <f>HYPERLINK("https://www.compass.com/listing/21-east-61st-street-unit-mansion-manhattan-ny-10065/739094892373156025/","21 E 61st St, Unit MANSION")</f>
        <v>21 E 61st St, Unit MANSION</v>
      </c>
      <c r="B154" s="2" t="str">
        <f>HYPERLINK("https://www.compass.com/building/the-carlton-house-manhattan-ny/292926373863910149/","The Carlton House")</f>
        <v>The Carlton House</v>
      </c>
      <c r="C154" s="1" t="s">
        <v>98</v>
      </c>
      <c r="D154" s="1" t="s">
        <v>41</v>
      </c>
      <c r="E154" s="3">
        <v>27500000</v>
      </c>
      <c r="F154" s="1">
        <v>2822.8289878874898</v>
      </c>
      <c r="G154" s="1">
        <v>14</v>
      </c>
      <c r="H154" s="1">
        <v>6</v>
      </c>
      <c r="M154" s="4">
        <v>9742</v>
      </c>
      <c r="N154" s="1">
        <v>1</v>
      </c>
      <c r="O154" s="1">
        <v>25001</v>
      </c>
      <c r="P154" s="1">
        <v>25000</v>
      </c>
      <c r="Q154" s="1" t="s">
        <v>104</v>
      </c>
      <c r="S154" s="1" t="s">
        <v>104</v>
      </c>
      <c r="T154" s="1" t="s">
        <v>138</v>
      </c>
      <c r="U154" s="1">
        <v>93</v>
      </c>
      <c r="V154" s="5">
        <v>44427</v>
      </c>
      <c r="W154" s="5">
        <v>44268</v>
      </c>
      <c r="X154" s="1">
        <v>27500000</v>
      </c>
      <c r="Z154" s="5">
        <v>44362</v>
      </c>
      <c r="AB154" s="1" t="s">
        <v>44</v>
      </c>
      <c r="AF154" s="1">
        <v>10065</v>
      </c>
      <c r="AI154" s="1" t="s">
        <v>147</v>
      </c>
      <c r="AJ154" s="1">
        <v>1951</v>
      </c>
      <c r="AK154" s="1" t="s">
        <v>46</v>
      </c>
      <c r="AL154" s="1">
        <v>68</v>
      </c>
    </row>
    <row r="155" spans="1:38" x14ac:dyDescent="0.2">
      <c r="A155" s="2" t="str">
        <f>HYPERLINK("https://www.compass.com/listing/543-west-122nd-street-unit-16d-manhattan-ny-10027/836073625574343545/","543 W 122nd St, Unit 16D")</f>
        <v>543 W 122nd St, Unit 16D</v>
      </c>
      <c r="B155" s="2" t="str">
        <f>HYPERLINK("https://www.compass.com/building/vandewater-manhattan-ny/282058681657361477/","Vandewater")</f>
        <v>Vandewater</v>
      </c>
      <c r="C155" s="1" t="s">
        <v>95</v>
      </c>
      <c r="D155" s="1" t="s">
        <v>41</v>
      </c>
      <c r="E155" s="3">
        <v>1250000</v>
      </c>
      <c r="F155" s="1">
        <v>1623.37662337662</v>
      </c>
      <c r="G155" s="1">
        <v>3</v>
      </c>
      <c r="H155" s="1">
        <v>1</v>
      </c>
      <c r="I155" s="1">
        <v>1</v>
      </c>
      <c r="J155" s="1">
        <v>1</v>
      </c>
      <c r="K155" s="1">
        <v>1</v>
      </c>
      <c r="M155" s="1">
        <v>770</v>
      </c>
      <c r="N155" s="1">
        <v>766</v>
      </c>
      <c r="O155" s="1">
        <v>1685</v>
      </c>
      <c r="P155" s="1">
        <v>919</v>
      </c>
      <c r="Q155" s="1" t="s">
        <v>42</v>
      </c>
      <c r="S155" s="1" t="s">
        <v>42</v>
      </c>
      <c r="T155" s="1" t="s">
        <v>138</v>
      </c>
      <c r="U155" s="1">
        <v>1</v>
      </c>
      <c r="V155" s="5">
        <v>44405</v>
      </c>
      <c r="W155" s="5">
        <v>44404</v>
      </c>
      <c r="X155" s="1">
        <v>1250000</v>
      </c>
      <c r="Z155" s="5">
        <v>44405</v>
      </c>
      <c r="AB155" s="1" t="s">
        <v>44</v>
      </c>
      <c r="AF155" s="1">
        <v>10027</v>
      </c>
      <c r="AI155" s="1" t="s">
        <v>96</v>
      </c>
      <c r="AJ155" s="1">
        <v>2019</v>
      </c>
      <c r="AK155" s="1" t="s">
        <v>46</v>
      </c>
      <c r="AL155" s="1">
        <v>183</v>
      </c>
    </row>
    <row r="156" spans="1:38" x14ac:dyDescent="0.2">
      <c r="A156" s="2" t="str">
        <f>HYPERLINK("https://www.compass.com/listing/368-3rd-avenue-unit-6a-manhattan-ny-10016/816528476601667417/","368 3rd Ave, Unit 6A")</f>
        <v>368 3rd Ave, Unit 6A</v>
      </c>
      <c r="B156" s="2" t="str">
        <f>HYPERLINK("https://www.compass.com/building/vu-new-york-manhattan-ny/282062889668350181/","Vu New York")</f>
        <v>Vu New York</v>
      </c>
      <c r="C156" s="1" t="s">
        <v>93</v>
      </c>
      <c r="D156" s="1" t="s">
        <v>41</v>
      </c>
      <c r="E156" s="3">
        <v>889000</v>
      </c>
      <c r="F156" s="1">
        <v>1699.8087954110899</v>
      </c>
      <c r="G156" s="1">
        <v>2</v>
      </c>
      <c r="H156" s="1" t="s">
        <v>94</v>
      </c>
      <c r="I156" s="1">
        <v>1</v>
      </c>
      <c r="J156" s="1">
        <v>1</v>
      </c>
      <c r="K156" s="1">
        <v>1</v>
      </c>
      <c r="M156" s="1">
        <v>523</v>
      </c>
      <c r="N156" s="1">
        <v>675</v>
      </c>
      <c r="O156" s="1">
        <v>1230</v>
      </c>
      <c r="P156" s="1">
        <v>555</v>
      </c>
      <c r="Q156" s="1" t="s">
        <v>42</v>
      </c>
      <c r="S156" s="1" t="s">
        <v>42</v>
      </c>
      <c r="T156" s="1" t="s">
        <v>138</v>
      </c>
      <c r="U156" s="1">
        <v>27</v>
      </c>
      <c r="V156" s="5">
        <v>44411</v>
      </c>
      <c r="W156" s="5">
        <v>44378</v>
      </c>
      <c r="X156" s="1">
        <v>889000</v>
      </c>
      <c r="Z156" s="5">
        <v>44405</v>
      </c>
      <c r="AB156" s="1" t="s">
        <v>44</v>
      </c>
      <c r="AF156" s="1">
        <v>10016</v>
      </c>
      <c r="AJ156" s="1">
        <v>2020</v>
      </c>
      <c r="AK156" s="1" t="s">
        <v>46</v>
      </c>
      <c r="AL156" s="1">
        <v>100</v>
      </c>
    </row>
    <row r="157" spans="1:38" x14ac:dyDescent="0.2">
      <c r="A157" s="2" t="str">
        <f>HYPERLINK("https://www.compass.com/listing/441-convent-avenue-unit-1o-manhattan-ny-10031/801399146673411881/","441 Convent Ave, Unit 1O")</f>
        <v>441 Convent Ave, Unit 1O</v>
      </c>
      <c r="B157" s="2" t="str">
        <f>HYPERLINK("https://www.compass.com/building/441-convent-ave-manhattan-ny-10031/281997455145425477/","441 Convent Ave")</f>
        <v>441 Convent Ave</v>
      </c>
      <c r="C157" s="1" t="s">
        <v>82</v>
      </c>
      <c r="D157" s="1" t="s">
        <v>41</v>
      </c>
      <c r="E157" s="3">
        <v>629000</v>
      </c>
      <c r="F157" s="1">
        <v>768.94865525672299</v>
      </c>
      <c r="G157" s="1">
        <v>5</v>
      </c>
      <c r="H157" s="1">
        <v>2</v>
      </c>
      <c r="I157" s="1">
        <v>1</v>
      </c>
      <c r="J157" s="1">
        <v>1</v>
      </c>
      <c r="K157" s="1">
        <v>1</v>
      </c>
      <c r="M157" s="1">
        <v>818</v>
      </c>
      <c r="N157" s="1">
        <v>526</v>
      </c>
      <c r="O157" s="1">
        <v>837</v>
      </c>
      <c r="P157" s="1">
        <v>311</v>
      </c>
      <c r="Q157" s="1" t="s">
        <v>42</v>
      </c>
      <c r="S157" s="1" t="s">
        <v>42</v>
      </c>
      <c r="T157" s="1" t="s">
        <v>138</v>
      </c>
      <c r="U157" s="1">
        <v>21</v>
      </c>
      <c r="V157" s="5">
        <v>44427</v>
      </c>
      <c r="W157" s="5">
        <v>44357</v>
      </c>
      <c r="X157" s="1">
        <v>629000</v>
      </c>
      <c r="Z157" s="5">
        <v>44379</v>
      </c>
      <c r="AB157" s="1" t="s">
        <v>44</v>
      </c>
      <c r="AF157" s="1">
        <v>10031</v>
      </c>
      <c r="AJ157" s="1">
        <v>1951</v>
      </c>
      <c r="AL157" s="1">
        <v>90</v>
      </c>
    </row>
    <row r="158" spans="1:38" x14ac:dyDescent="0.2">
      <c r="A158" s="2" t="str">
        <f>HYPERLINK("https://www.compass.com/listing/27-east-79th-street-unit-9-10-manhattan-ny-10075/198526754359464977/","27 E 79th St, Unit 9/10")</f>
        <v>27 E 79th St, Unit 9/10</v>
      </c>
      <c r="B158" s="2" t="str">
        <f t="shared" ref="B158:B160" si="23">HYPERLINK("https://www.compass.com/building/27-e-79th-st-manhattan-ny-10075/282057858843965749/","27 E 79th St")</f>
        <v>27 E 79th St</v>
      </c>
      <c r="C158" s="1" t="s">
        <v>98</v>
      </c>
      <c r="D158" s="1" t="s">
        <v>41</v>
      </c>
      <c r="E158" s="3">
        <v>12495000</v>
      </c>
      <c r="F158" s="1">
        <v>4156.6866267465002</v>
      </c>
      <c r="G158" s="1">
        <v>7</v>
      </c>
      <c r="H158" s="1">
        <v>5</v>
      </c>
      <c r="I158" s="1">
        <v>6</v>
      </c>
      <c r="J158" s="1">
        <v>5.5</v>
      </c>
      <c r="K158" s="1">
        <v>5</v>
      </c>
      <c r="L158" s="1">
        <v>1</v>
      </c>
      <c r="M158" s="4">
        <v>3006</v>
      </c>
      <c r="N158" s="1">
        <v>7457</v>
      </c>
      <c r="O158" s="1">
        <v>8921</v>
      </c>
      <c r="P158" s="1">
        <v>1464</v>
      </c>
      <c r="Q158" s="1" t="s">
        <v>42</v>
      </c>
      <c r="S158" s="1" t="s">
        <v>42</v>
      </c>
      <c r="T158" s="1" t="s">
        <v>138</v>
      </c>
      <c r="U158" s="1">
        <v>102</v>
      </c>
      <c r="V158" s="5">
        <v>44414</v>
      </c>
      <c r="W158" s="5">
        <v>43888</v>
      </c>
      <c r="Z158" s="5">
        <v>44085</v>
      </c>
      <c r="AB158" s="1" t="s">
        <v>44</v>
      </c>
      <c r="AF158" s="1">
        <v>10075</v>
      </c>
      <c r="AJ158" s="1">
        <v>2019</v>
      </c>
      <c r="AK158" s="1" t="s">
        <v>46</v>
      </c>
      <c r="AL158" s="1">
        <v>8</v>
      </c>
    </row>
    <row r="159" spans="1:38" x14ac:dyDescent="0.2">
      <c r="A159" s="2" t="str">
        <f>HYPERLINK("https://www.compass.com/listing/27-east-79th-street-unit-7-8-manhattan-ny-10075/75367678675542273/","27 E 79th St, Unit 7/8")</f>
        <v>27 E 79th St, Unit 7/8</v>
      </c>
      <c r="B159" s="2" t="str">
        <f t="shared" si="23"/>
        <v>27 E 79th St</v>
      </c>
      <c r="C159" s="1" t="s">
        <v>98</v>
      </c>
      <c r="D159" s="1" t="s">
        <v>41</v>
      </c>
      <c r="E159" s="3">
        <v>11995000</v>
      </c>
      <c r="F159" s="1">
        <v>3990.3526280771698</v>
      </c>
      <c r="G159" s="1">
        <v>7</v>
      </c>
      <c r="H159" s="1">
        <v>4</v>
      </c>
      <c r="I159" s="1">
        <v>6</v>
      </c>
      <c r="J159" s="1">
        <v>5.5</v>
      </c>
      <c r="K159" s="1">
        <v>5</v>
      </c>
      <c r="L159" s="1">
        <v>1</v>
      </c>
      <c r="M159" s="4">
        <v>3006</v>
      </c>
      <c r="N159" s="1">
        <v>7420.83</v>
      </c>
      <c r="O159" s="1">
        <v>10990.83</v>
      </c>
      <c r="P159" s="1">
        <v>3570</v>
      </c>
      <c r="Q159" s="1" t="s">
        <v>42</v>
      </c>
      <c r="S159" s="1" t="s">
        <v>42</v>
      </c>
      <c r="T159" s="1" t="s">
        <v>138</v>
      </c>
      <c r="U159" s="1">
        <v>91</v>
      </c>
      <c r="V159" s="5">
        <v>44418</v>
      </c>
      <c r="W159" s="5">
        <v>43748</v>
      </c>
      <c r="Z159" s="5">
        <v>43965</v>
      </c>
      <c r="AB159" s="1" t="s">
        <v>44</v>
      </c>
      <c r="AF159" s="1">
        <v>10075</v>
      </c>
      <c r="AJ159" s="1">
        <v>2019</v>
      </c>
      <c r="AK159" s="1" t="s">
        <v>46</v>
      </c>
      <c r="AL159" s="1">
        <v>8</v>
      </c>
    </row>
    <row r="160" spans="1:38" x14ac:dyDescent="0.2">
      <c r="A160" s="2" t="str">
        <f>HYPERLINK("https://www.compass.com/listing/27-east-79th-street-unit-ph-manhattan-ny-10075/127250448645139377/","27 E 79th St, Unit PH")</f>
        <v>27 E 79th St, Unit PH</v>
      </c>
      <c r="B160" s="2" t="str">
        <f t="shared" si="23"/>
        <v>27 E 79th St</v>
      </c>
      <c r="C160" s="1" t="s">
        <v>98</v>
      </c>
      <c r="D160" s="1" t="s">
        <v>41</v>
      </c>
      <c r="E160" s="3">
        <v>22800000</v>
      </c>
      <c r="F160" s="1">
        <v>5246.2034054302803</v>
      </c>
      <c r="G160" s="1">
        <v>10</v>
      </c>
      <c r="H160" s="1">
        <v>5</v>
      </c>
      <c r="I160" s="1">
        <v>6</v>
      </c>
      <c r="J160" s="1">
        <v>5.5</v>
      </c>
      <c r="K160" s="1">
        <v>5</v>
      </c>
      <c r="L160" s="1">
        <v>1</v>
      </c>
      <c r="M160" s="4">
        <v>4346</v>
      </c>
      <c r="N160" s="1">
        <v>11340</v>
      </c>
      <c r="O160" s="1">
        <v>13563</v>
      </c>
      <c r="P160" s="1">
        <v>2223</v>
      </c>
      <c r="Q160" s="1" t="s">
        <v>42</v>
      </c>
      <c r="S160" s="1" t="s">
        <v>42</v>
      </c>
      <c r="T160" s="1" t="s">
        <v>138</v>
      </c>
      <c r="V160" s="5">
        <v>44419</v>
      </c>
      <c r="W160" s="5">
        <v>43427</v>
      </c>
      <c r="X160" s="1">
        <v>22800000</v>
      </c>
      <c r="Z160" s="5">
        <v>43427</v>
      </c>
      <c r="AB160" s="1" t="s">
        <v>44</v>
      </c>
      <c r="AF160" s="1">
        <v>10075</v>
      </c>
      <c r="AI160" s="1" t="s">
        <v>115</v>
      </c>
      <c r="AJ160" s="1">
        <v>2019</v>
      </c>
      <c r="AK160" s="1" t="s">
        <v>46</v>
      </c>
      <c r="AL160" s="1">
        <v>8</v>
      </c>
    </row>
    <row r="161" spans="1:38" x14ac:dyDescent="0.2">
      <c r="A161" s="2" t="str">
        <f>HYPERLINK("https://www.compass.com/listing/441-convent-avenue-unit-5o-manhattan-ny-10031/784103741207257377/","441 Convent Ave, Unit 5O")</f>
        <v>441 Convent Ave, Unit 5O</v>
      </c>
      <c r="B161" s="2" t="str">
        <f>HYPERLINK("https://www.compass.com/building/441-convent-ave-manhattan-ny-10031/281997455145425477/","441 Convent Ave")</f>
        <v>441 Convent Ave</v>
      </c>
      <c r="C161" s="1" t="s">
        <v>82</v>
      </c>
      <c r="D161" s="1" t="s">
        <v>41</v>
      </c>
      <c r="E161" s="3">
        <v>650000</v>
      </c>
      <c r="F161" s="1">
        <v>794.62102689486505</v>
      </c>
      <c r="G161" s="1">
        <v>4</v>
      </c>
      <c r="H161" s="1">
        <v>2</v>
      </c>
      <c r="I161" s="1">
        <v>1</v>
      </c>
      <c r="J161" s="1">
        <v>1</v>
      </c>
      <c r="K161" s="1">
        <v>1</v>
      </c>
      <c r="M161" s="1">
        <v>818</v>
      </c>
      <c r="N161" s="1">
        <v>543</v>
      </c>
      <c r="O161" s="1">
        <v>930</v>
      </c>
      <c r="P161" s="1">
        <v>387</v>
      </c>
      <c r="Q161" s="1" t="s">
        <v>114</v>
      </c>
      <c r="S161" s="1" t="s">
        <v>42</v>
      </c>
      <c r="T161" s="1" t="s">
        <v>138</v>
      </c>
      <c r="U161" s="1">
        <v>24</v>
      </c>
      <c r="V161" s="5">
        <v>44358</v>
      </c>
      <c r="W161" s="5">
        <v>44334</v>
      </c>
      <c r="X161" s="1">
        <v>650000</v>
      </c>
      <c r="Z161" s="5">
        <v>44358</v>
      </c>
      <c r="AB161" s="1" t="s">
        <v>44</v>
      </c>
      <c r="AF161" s="1">
        <v>10031</v>
      </c>
      <c r="AJ161" s="1">
        <v>1951</v>
      </c>
      <c r="AL161" s="1">
        <v>90</v>
      </c>
    </row>
    <row r="162" spans="1:38" x14ac:dyDescent="0.2">
      <c r="A162" s="2" t="str">
        <f>HYPERLINK("https://www.compass.com/listing/368-3rd-avenue-unit-12d-manhattan-ny-10016/807134573390632041/","368 3rd Ave, Unit 12D")</f>
        <v>368 3rd Ave, Unit 12D</v>
      </c>
      <c r="B162" s="2" t="str">
        <f t="shared" ref="B162:B164" si="24">HYPERLINK("https://www.compass.com/building/vu-new-york-manhattan-ny/282062889668350181/","Vu New York")</f>
        <v>Vu New York</v>
      </c>
      <c r="C162" s="1" t="s">
        <v>93</v>
      </c>
      <c r="D162" s="1" t="s">
        <v>41</v>
      </c>
      <c r="E162" s="3">
        <v>1225000</v>
      </c>
      <c r="F162" s="1">
        <v>1978.9983844911101</v>
      </c>
      <c r="G162" s="1">
        <v>3</v>
      </c>
      <c r="H162" s="1">
        <v>1</v>
      </c>
      <c r="I162" s="1">
        <v>1</v>
      </c>
      <c r="J162" s="1">
        <v>1</v>
      </c>
      <c r="K162" s="1">
        <v>1</v>
      </c>
      <c r="M162" s="1">
        <v>619</v>
      </c>
      <c r="N162" s="1">
        <v>799</v>
      </c>
      <c r="O162" s="1">
        <v>1456</v>
      </c>
      <c r="P162" s="1">
        <v>657</v>
      </c>
      <c r="Q162" s="1" t="s">
        <v>42</v>
      </c>
      <c r="S162" s="1" t="s">
        <v>42</v>
      </c>
      <c r="T162" s="1" t="s">
        <v>138</v>
      </c>
      <c r="V162" s="5">
        <v>44426</v>
      </c>
      <c r="W162" s="5">
        <v>44365</v>
      </c>
      <c r="X162" s="1">
        <v>1225000</v>
      </c>
      <c r="Z162" s="5">
        <v>44365</v>
      </c>
      <c r="AB162" s="1" t="s">
        <v>44</v>
      </c>
      <c r="AF162" s="1">
        <v>10016</v>
      </c>
      <c r="AJ162" s="1">
        <v>2020</v>
      </c>
      <c r="AK162" s="1" t="s">
        <v>46</v>
      </c>
      <c r="AL162" s="1">
        <v>100</v>
      </c>
    </row>
    <row r="163" spans="1:38" x14ac:dyDescent="0.2">
      <c r="A163" s="2" t="str">
        <f>HYPERLINK("https://www.compass.com/listing/368-3rd-avenue-unit-16a-manhattan-ny-10016/807134829562318041/","368 3rd Ave, Unit 16A")</f>
        <v>368 3rd Ave, Unit 16A</v>
      </c>
      <c r="B163" s="2" t="str">
        <f t="shared" si="24"/>
        <v>Vu New York</v>
      </c>
      <c r="C163" s="1" t="s">
        <v>93</v>
      </c>
      <c r="D163" s="1" t="s">
        <v>41</v>
      </c>
      <c r="E163" s="3">
        <v>1225000</v>
      </c>
      <c r="F163" s="1">
        <v>2011.4942528735601</v>
      </c>
      <c r="G163" s="1">
        <v>3</v>
      </c>
      <c r="H163" s="1">
        <v>1</v>
      </c>
      <c r="I163" s="1">
        <v>1</v>
      </c>
      <c r="J163" s="1">
        <v>1</v>
      </c>
      <c r="K163" s="1">
        <v>1</v>
      </c>
      <c r="M163" s="1">
        <v>609</v>
      </c>
      <c r="N163" s="1">
        <v>785</v>
      </c>
      <c r="O163" s="1">
        <v>1430</v>
      </c>
      <c r="P163" s="1">
        <v>645</v>
      </c>
      <c r="Q163" s="1" t="s">
        <v>42</v>
      </c>
      <c r="S163" s="1" t="s">
        <v>42</v>
      </c>
      <c r="T163" s="1" t="s">
        <v>138</v>
      </c>
      <c r="V163" s="5">
        <v>44426</v>
      </c>
      <c r="W163" s="5">
        <v>44365</v>
      </c>
      <c r="X163" s="1">
        <v>1225000</v>
      </c>
      <c r="Z163" s="5">
        <v>44365</v>
      </c>
      <c r="AB163" s="1" t="s">
        <v>44</v>
      </c>
      <c r="AF163" s="1">
        <v>10016</v>
      </c>
      <c r="AJ163" s="1">
        <v>2020</v>
      </c>
      <c r="AK163" s="1" t="s">
        <v>46</v>
      </c>
      <c r="AL163" s="1">
        <v>100</v>
      </c>
    </row>
    <row r="164" spans="1:38" x14ac:dyDescent="0.2">
      <c r="A164" s="2" t="str">
        <f>HYPERLINK("https://www.compass.com/listing/368-3rd-avenue-unit-19a-manhattan-ny-10016/807145065509105361/","368 3rd Ave, Unit 19A")</f>
        <v>368 3rd Ave, Unit 19A</v>
      </c>
      <c r="B164" s="2" t="str">
        <f t="shared" si="24"/>
        <v>Vu New York</v>
      </c>
      <c r="C164" s="1" t="s">
        <v>93</v>
      </c>
      <c r="D164" s="1" t="s">
        <v>41</v>
      </c>
      <c r="E164" s="3">
        <v>1299000</v>
      </c>
      <c r="F164" s="1">
        <v>2133.00492610837</v>
      </c>
      <c r="G164" s="1">
        <v>3</v>
      </c>
      <c r="H164" s="1">
        <v>1</v>
      </c>
      <c r="I164" s="1">
        <v>1</v>
      </c>
      <c r="J164" s="1">
        <v>1</v>
      </c>
      <c r="K164" s="1">
        <v>1</v>
      </c>
      <c r="M164" s="1">
        <v>609</v>
      </c>
      <c r="N164" s="1">
        <v>786</v>
      </c>
      <c r="O164" s="1">
        <v>1432</v>
      </c>
      <c r="P164" s="1">
        <v>646</v>
      </c>
      <c r="Q164" s="1" t="s">
        <v>42</v>
      </c>
      <c r="S164" s="1" t="s">
        <v>42</v>
      </c>
      <c r="T164" s="1" t="s">
        <v>138</v>
      </c>
      <c r="V164" s="5">
        <v>44426</v>
      </c>
      <c r="W164" s="5">
        <v>44365</v>
      </c>
      <c r="X164" s="1">
        <v>1299000</v>
      </c>
      <c r="Z164" s="5">
        <v>44365</v>
      </c>
      <c r="AB164" s="1" t="s">
        <v>44</v>
      </c>
      <c r="AF164" s="1">
        <v>10016</v>
      </c>
      <c r="AJ164" s="1">
        <v>2020</v>
      </c>
      <c r="AK164" s="1" t="s">
        <v>46</v>
      </c>
      <c r="AL164" s="1">
        <v>100</v>
      </c>
    </row>
    <row r="165" spans="1:38" x14ac:dyDescent="0.2">
      <c r="A165" s="2" t="str">
        <f>HYPERLINK("https://www.compass.com/listing/176-east-82nd-street-unit-6-manhattan-ny-10028/707863326037280625/","176 E 82nd St, Unit 6")</f>
        <v>176 E 82nd St, Unit 6</v>
      </c>
      <c r="B165" s="2" t="str">
        <f t="shared" ref="B165:B166" si="25">HYPERLINK("https://www.compass.com/building/etage-manhattan-ny/292891484586356869/","Etage")</f>
        <v>Etage</v>
      </c>
      <c r="C165" s="1" t="s">
        <v>98</v>
      </c>
      <c r="D165" s="1" t="s">
        <v>41</v>
      </c>
      <c r="E165" s="3">
        <v>4600000</v>
      </c>
      <c r="F165" s="1">
        <v>1940.10965837199</v>
      </c>
      <c r="G165" s="1">
        <v>6</v>
      </c>
      <c r="H165" s="1">
        <v>4</v>
      </c>
      <c r="I165" s="1">
        <v>4</v>
      </c>
      <c r="J165" s="1">
        <v>3.5</v>
      </c>
      <c r="K165" s="1">
        <v>3</v>
      </c>
      <c r="L165" s="1">
        <v>1</v>
      </c>
      <c r="M165" s="4">
        <v>2371</v>
      </c>
      <c r="N165" s="1">
        <v>626</v>
      </c>
      <c r="O165" s="1">
        <v>3922</v>
      </c>
      <c r="P165" s="1">
        <v>3296</v>
      </c>
      <c r="Q165" s="1" t="s">
        <v>42</v>
      </c>
      <c r="S165" s="1" t="s">
        <v>42</v>
      </c>
      <c r="T165" s="1" t="s">
        <v>138</v>
      </c>
      <c r="U165" s="1">
        <v>114</v>
      </c>
      <c r="V165" s="5">
        <v>44424</v>
      </c>
      <c r="W165" s="5">
        <v>44228</v>
      </c>
      <c r="Z165" s="5">
        <v>44343</v>
      </c>
      <c r="AB165" s="1" t="s">
        <v>44</v>
      </c>
      <c r="AF165" s="1">
        <v>10028</v>
      </c>
      <c r="AI165" s="1" t="s">
        <v>51</v>
      </c>
      <c r="AJ165" s="1">
        <v>2018</v>
      </c>
      <c r="AK165" s="1" t="s">
        <v>86</v>
      </c>
      <c r="AL165" s="1">
        <v>9</v>
      </c>
    </row>
    <row r="166" spans="1:38" x14ac:dyDescent="0.2">
      <c r="A166" s="2" t="str">
        <f>HYPERLINK("https://www.compass.com/listing/176-east-82nd-street-unit-ph-manhattan-ny-10028/409394507184372833/","176 E 82nd St, Unit PH")</f>
        <v>176 E 82nd St, Unit PH</v>
      </c>
      <c r="B166" s="2" t="str">
        <f t="shared" si="25"/>
        <v>Etage</v>
      </c>
      <c r="C166" s="1" t="s">
        <v>98</v>
      </c>
      <c r="D166" s="1" t="s">
        <v>41</v>
      </c>
      <c r="E166" s="3">
        <v>5995000</v>
      </c>
      <c r="F166" s="1">
        <v>2432.0486815415802</v>
      </c>
      <c r="G166" s="1">
        <v>6</v>
      </c>
      <c r="H166" s="1">
        <v>4</v>
      </c>
      <c r="I166" s="1">
        <v>4</v>
      </c>
      <c r="J166" s="1">
        <v>3.5</v>
      </c>
      <c r="K166" s="1">
        <v>3</v>
      </c>
      <c r="L166" s="1">
        <v>1</v>
      </c>
      <c r="M166" s="4">
        <v>2465</v>
      </c>
      <c r="N166" s="1">
        <v>857</v>
      </c>
      <c r="O166" s="1">
        <v>5208</v>
      </c>
      <c r="P166" s="1">
        <v>4351</v>
      </c>
      <c r="Q166" s="1" t="s">
        <v>42</v>
      </c>
      <c r="S166" s="1" t="s">
        <v>42</v>
      </c>
      <c r="T166" s="1" t="s">
        <v>138</v>
      </c>
      <c r="U166" s="1">
        <v>197</v>
      </c>
      <c r="V166" s="5">
        <v>44424</v>
      </c>
      <c r="W166" s="5">
        <v>44007</v>
      </c>
      <c r="Z166" s="5">
        <v>44205</v>
      </c>
      <c r="AB166" s="1" t="s">
        <v>44</v>
      </c>
      <c r="AF166" s="1">
        <v>10028</v>
      </c>
      <c r="AI166" s="1" t="s">
        <v>148</v>
      </c>
      <c r="AJ166" s="1">
        <v>2018</v>
      </c>
      <c r="AK166" s="1" t="s">
        <v>86</v>
      </c>
      <c r="AL166" s="1">
        <v>9</v>
      </c>
    </row>
    <row r="167" spans="1:38" x14ac:dyDescent="0.2">
      <c r="A167" s="2" t="str">
        <f>HYPERLINK("https://www.compass.com/listing/750-riverside-drive-unit-2f-manhattan-ny-10031/719583576060182417/","750 Riverside Dr, Unit 2F")</f>
        <v>750 Riverside Dr, Unit 2F</v>
      </c>
      <c r="B167" s="2" t="str">
        <f>HYPERLINK("https://www.compass.com/building/750-riverside-dr-manhattan-ny-10031/282003523909053237/","750 Riverside Dr")</f>
        <v>750 Riverside Dr</v>
      </c>
      <c r="C167" s="1" t="s">
        <v>82</v>
      </c>
      <c r="D167" s="1" t="s">
        <v>41</v>
      </c>
      <c r="E167" s="3">
        <v>401005</v>
      </c>
      <c r="F167" s="1">
        <v>671.70016750418699</v>
      </c>
      <c r="G167" s="1">
        <v>3</v>
      </c>
      <c r="H167" s="1">
        <v>1</v>
      </c>
      <c r="I167" s="1">
        <v>1</v>
      </c>
      <c r="J167" s="1">
        <v>1</v>
      </c>
      <c r="K167" s="1">
        <v>1</v>
      </c>
      <c r="M167" s="1">
        <v>597</v>
      </c>
      <c r="N167" s="1">
        <v>565</v>
      </c>
      <c r="O167" s="1">
        <v>865</v>
      </c>
      <c r="P167" s="1">
        <v>300</v>
      </c>
      <c r="Q167" s="1" t="s">
        <v>114</v>
      </c>
      <c r="S167" s="1" t="s">
        <v>42</v>
      </c>
      <c r="T167" s="1" t="s">
        <v>138</v>
      </c>
      <c r="U167" s="1">
        <v>140</v>
      </c>
      <c r="V167" s="5">
        <v>44385</v>
      </c>
      <c r="W167" s="5">
        <v>44245</v>
      </c>
      <c r="X167" s="1">
        <v>450000</v>
      </c>
      <c r="Z167" s="5">
        <v>44385</v>
      </c>
      <c r="AB167" s="1" t="s">
        <v>44</v>
      </c>
      <c r="AF167" s="1">
        <v>10031</v>
      </c>
      <c r="AJ167" s="1">
        <v>1920</v>
      </c>
      <c r="AL167" s="1">
        <v>42</v>
      </c>
    </row>
    <row r="168" spans="1:38" x14ac:dyDescent="0.2">
      <c r="A168" s="2" t="str">
        <f>HYPERLINK("https://www.compass.com/listing/368-3rd-avenue-unit-10d-manhattan-ny-10016/786798169097206041/","368 3rd Ave, Unit 10D")</f>
        <v>368 3rd Ave, Unit 10D</v>
      </c>
      <c r="B168" s="2" t="str">
        <f t="shared" ref="B168:B181" si="26">HYPERLINK("https://www.compass.com/building/vu-new-york-manhattan-ny/282062889668350181/","Vu New York")</f>
        <v>Vu New York</v>
      </c>
      <c r="C168" s="1" t="s">
        <v>93</v>
      </c>
      <c r="D168" s="1" t="s">
        <v>41</v>
      </c>
      <c r="E168" s="3">
        <v>1165000</v>
      </c>
      <c r="F168" s="1">
        <v>1882.06785137318</v>
      </c>
      <c r="G168" s="1">
        <v>3</v>
      </c>
      <c r="H168" s="1">
        <v>1</v>
      </c>
      <c r="I168" s="1">
        <v>1</v>
      </c>
      <c r="J168" s="1">
        <v>1</v>
      </c>
      <c r="K168" s="1">
        <v>1</v>
      </c>
      <c r="M168" s="1">
        <v>619</v>
      </c>
      <c r="N168" s="1">
        <v>804</v>
      </c>
      <c r="O168" s="1">
        <v>1465</v>
      </c>
      <c r="P168" s="1">
        <v>661</v>
      </c>
      <c r="Q168" s="1" t="s">
        <v>42</v>
      </c>
      <c r="S168" s="1" t="s">
        <v>42</v>
      </c>
      <c r="T168" s="1" t="s">
        <v>138</v>
      </c>
      <c r="V168" s="5">
        <v>44398</v>
      </c>
      <c r="W168" s="5">
        <v>44337</v>
      </c>
      <c r="X168" s="1">
        <v>1165000</v>
      </c>
      <c r="Z168" s="5">
        <v>44337</v>
      </c>
      <c r="AB168" s="1" t="s">
        <v>44</v>
      </c>
      <c r="AF168" s="1">
        <v>10016</v>
      </c>
      <c r="AJ168" s="1">
        <v>2020</v>
      </c>
      <c r="AK168" s="1" t="s">
        <v>46</v>
      </c>
      <c r="AL168" s="1">
        <v>100</v>
      </c>
    </row>
    <row r="169" spans="1:38" x14ac:dyDescent="0.2">
      <c r="A169" s="2" t="str">
        <f>HYPERLINK("https://www.compass.com/listing/368-3rd-avenue-unit-11d-manhattan-ny-10016/786806472492732737/","368 3rd Ave, Unit 11D")</f>
        <v>368 3rd Ave, Unit 11D</v>
      </c>
      <c r="B169" s="2" t="str">
        <f t="shared" si="26"/>
        <v>Vu New York</v>
      </c>
      <c r="C169" s="1" t="s">
        <v>93</v>
      </c>
      <c r="D169" s="1" t="s">
        <v>41</v>
      </c>
      <c r="E169" s="3">
        <v>1195000</v>
      </c>
      <c r="F169" s="1">
        <v>1930.5331179321399</v>
      </c>
      <c r="G169" s="1">
        <v>3</v>
      </c>
      <c r="H169" s="1">
        <v>1</v>
      </c>
      <c r="I169" s="1">
        <v>1</v>
      </c>
      <c r="J169" s="1">
        <v>1</v>
      </c>
      <c r="K169" s="1">
        <v>1</v>
      </c>
      <c r="M169" s="1">
        <v>619</v>
      </c>
      <c r="N169" s="1">
        <v>804</v>
      </c>
      <c r="O169" s="1">
        <v>1465</v>
      </c>
      <c r="P169" s="1">
        <v>661</v>
      </c>
      <c r="Q169" s="1" t="s">
        <v>42</v>
      </c>
      <c r="S169" s="1" t="s">
        <v>42</v>
      </c>
      <c r="T169" s="1" t="s">
        <v>138</v>
      </c>
      <c r="V169" s="5">
        <v>44398</v>
      </c>
      <c r="W169" s="5">
        <v>44337</v>
      </c>
      <c r="X169" s="1">
        <v>1195000</v>
      </c>
      <c r="Z169" s="5">
        <v>44337</v>
      </c>
      <c r="AB169" s="1" t="s">
        <v>44</v>
      </c>
      <c r="AF169" s="1">
        <v>10016</v>
      </c>
      <c r="AJ169" s="1">
        <v>2020</v>
      </c>
      <c r="AK169" s="1" t="s">
        <v>46</v>
      </c>
      <c r="AL169" s="1">
        <v>100</v>
      </c>
    </row>
    <row r="170" spans="1:38" x14ac:dyDescent="0.2">
      <c r="A170" s="2" t="str">
        <f>HYPERLINK("https://www.compass.com/listing/368-3rd-avenue-unit-9d-manhattan-ny-10016/761468468062025801/","368 3rd Ave, Unit 9D")</f>
        <v>368 3rd Ave, Unit 9D</v>
      </c>
      <c r="B170" s="2" t="str">
        <f t="shared" si="26"/>
        <v>Vu New York</v>
      </c>
      <c r="C170" s="1" t="s">
        <v>93</v>
      </c>
      <c r="D170" s="1" t="s">
        <v>41</v>
      </c>
      <c r="E170" s="3">
        <v>1150000</v>
      </c>
      <c r="F170" s="1">
        <v>1885.24590163934</v>
      </c>
      <c r="G170" s="1">
        <v>3</v>
      </c>
      <c r="H170" s="1">
        <v>1</v>
      </c>
      <c r="I170" s="1">
        <v>1</v>
      </c>
      <c r="J170" s="1">
        <v>1</v>
      </c>
      <c r="K170" s="1">
        <v>1</v>
      </c>
      <c r="M170" s="1">
        <v>610</v>
      </c>
      <c r="N170" s="1">
        <v>787</v>
      </c>
      <c r="O170" s="1">
        <v>1434</v>
      </c>
      <c r="P170" s="1">
        <v>647</v>
      </c>
      <c r="Q170" s="1" t="s">
        <v>42</v>
      </c>
      <c r="S170" s="1" t="s">
        <v>42</v>
      </c>
      <c r="T170" s="1" t="s">
        <v>138</v>
      </c>
      <c r="U170" s="1">
        <v>2</v>
      </c>
      <c r="V170" s="5">
        <v>44411</v>
      </c>
      <c r="W170" s="5">
        <v>44300</v>
      </c>
      <c r="X170" s="1">
        <v>1150000</v>
      </c>
      <c r="Z170" s="5">
        <v>44302</v>
      </c>
      <c r="AB170" s="1" t="s">
        <v>44</v>
      </c>
      <c r="AF170" s="1">
        <v>10016</v>
      </c>
      <c r="AJ170" s="1">
        <v>2020</v>
      </c>
      <c r="AK170" s="1" t="s">
        <v>46</v>
      </c>
      <c r="AL170" s="1">
        <v>100</v>
      </c>
    </row>
    <row r="171" spans="1:38" x14ac:dyDescent="0.2">
      <c r="A171" s="2" t="str">
        <f>HYPERLINK("https://www.compass.com/listing/368-3rd-avenue-unit-8d-manhattan-ny-10016/761468475984446089/","368 3rd Ave, Unit 8D")</f>
        <v>368 3rd Ave, Unit 8D</v>
      </c>
      <c r="B171" s="2" t="str">
        <f t="shared" si="26"/>
        <v>Vu New York</v>
      </c>
      <c r="C171" s="1" t="s">
        <v>93</v>
      </c>
      <c r="D171" s="1" t="s">
        <v>41</v>
      </c>
      <c r="E171" s="3">
        <v>1125000</v>
      </c>
      <c r="F171" s="1">
        <v>1844.26229508196</v>
      </c>
      <c r="G171" s="1">
        <v>3</v>
      </c>
      <c r="H171" s="1">
        <v>1</v>
      </c>
      <c r="I171" s="1">
        <v>1</v>
      </c>
      <c r="J171" s="1">
        <v>1</v>
      </c>
      <c r="K171" s="1">
        <v>1</v>
      </c>
      <c r="M171" s="1">
        <v>610</v>
      </c>
      <c r="N171" s="1">
        <v>787</v>
      </c>
      <c r="O171" s="1">
        <v>1434</v>
      </c>
      <c r="P171" s="1">
        <v>647</v>
      </c>
      <c r="Q171" s="1" t="s">
        <v>42</v>
      </c>
      <c r="S171" s="1" t="s">
        <v>42</v>
      </c>
      <c r="T171" s="1" t="s">
        <v>138</v>
      </c>
      <c r="U171" s="1">
        <v>2</v>
      </c>
      <c r="V171" s="5">
        <v>44411</v>
      </c>
      <c r="W171" s="5">
        <v>44300</v>
      </c>
      <c r="X171" s="1">
        <v>1125000</v>
      </c>
      <c r="Z171" s="5">
        <v>44302</v>
      </c>
      <c r="AB171" s="1" t="s">
        <v>44</v>
      </c>
      <c r="AF171" s="1">
        <v>10016</v>
      </c>
      <c r="AJ171" s="1">
        <v>2020</v>
      </c>
      <c r="AK171" s="1" t="s">
        <v>46</v>
      </c>
      <c r="AL171" s="1">
        <v>100</v>
      </c>
    </row>
    <row r="172" spans="1:38" x14ac:dyDescent="0.2">
      <c r="A172" s="2" t="str">
        <f>HYPERLINK("https://www.compass.com/listing/368-3rd-avenue-unit-20a-manhattan-ny-10016/694958149594291441/","368 3rd Ave, Unit 20A")</f>
        <v>368 3rd Ave, Unit 20A</v>
      </c>
      <c r="B172" s="2" t="str">
        <f t="shared" si="26"/>
        <v>Vu New York</v>
      </c>
      <c r="C172" s="1" t="s">
        <v>93</v>
      </c>
      <c r="D172" s="1" t="s">
        <v>41</v>
      </c>
      <c r="E172" s="3">
        <v>1299900</v>
      </c>
      <c r="F172" s="1">
        <v>2134.4827586206802</v>
      </c>
      <c r="G172" s="1">
        <v>3</v>
      </c>
      <c r="H172" s="1">
        <v>1</v>
      </c>
      <c r="I172" s="1">
        <v>1</v>
      </c>
      <c r="J172" s="1">
        <v>1</v>
      </c>
      <c r="K172" s="1">
        <v>1</v>
      </c>
      <c r="M172" s="1">
        <v>609</v>
      </c>
      <c r="N172" s="1">
        <v>786</v>
      </c>
      <c r="O172" s="1">
        <v>1432</v>
      </c>
      <c r="P172" s="1">
        <v>646</v>
      </c>
      <c r="Q172" s="1" t="s">
        <v>42</v>
      </c>
      <c r="S172" s="1" t="s">
        <v>42</v>
      </c>
      <c r="T172" s="1" t="s">
        <v>138</v>
      </c>
      <c r="U172" s="1">
        <v>155</v>
      </c>
      <c r="V172" s="5">
        <v>44426</v>
      </c>
      <c r="W172" s="5">
        <v>44210</v>
      </c>
      <c r="X172" s="1">
        <v>1299900</v>
      </c>
      <c r="Z172" s="5">
        <v>44365</v>
      </c>
      <c r="AB172" s="1" t="s">
        <v>44</v>
      </c>
      <c r="AF172" s="1">
        <v>10016</v>
      </c>
      <c r="AJ172" s="1">
        <v>2020</v>
      </c>
      <c r="AK172" s="1" t="s">
        <v>46</v>
      </c>
      <c r="AL172" s="1">
        <v>100</v>
      </c>
    </row>
    <row r="173" spans="1:38" x14ac:dyDescent="0.2">
      <c r="A173" s="2" t="str">
        <f>HYPERLINK("https://www.compass.com/listing/368-3rd-avenue-unit-7d-manhattan-ny-10016/694958189465561641/","368 3rd Ave, Unit 7D")</f>
        <v>368 3rd Ave, Unit 7D</v>
      </c>
      <c r="B173" s="2" t="str">
        <f t="shared" si="26"/>
        <v>Vu New York</v>
      </c>
      <c r="C173" s="1" t="s">
        <v>93</v>
      </c>
      <c r="D173" s="1" t="s">
        <v>41</v>
      </c>
      <c r="E173" s="3">
        <v>999000</v>
      </c>
      <c r="F173" s="1">
        <v>1637.7049180327799</v>
      </c>
      <c r="G173" s="1">
        <v>3</v>
      </c>
      <c r="H173" s="1">
        <v>1</v>
      </c>
      <c r="I173" s="1">
        <v>1</v>
      </c>
      <c r="J173" s="1">
        <v>1</v>
      </c>
      <c r="K173" s="1">
        <v>1</v>
      </c>
      <c r="M173" s="1">
        <v>610</v>
      </c>
      <c r="N173" s="1">
        <v>787</v>
      </c>
      <c r="O173" s="1">
        <v>1434</v>
      </c>
      <c r="P173" s="1">
        <v>647</v>
      </c>
      <c r="Q173" s="1" t="s">
        <v>42</v>
      </c>
      <c r="S173" s="1" t="s">
        <v>42</v>
      </c>
      <c r="T173" s="1" t="s">
        <v>138</v>
      </c>
      <c r="U173" s="1">
        <v>92</v>
      </c>
      <c r="V173" s="5">
        <v>44411</v>
      </c>
      <c r="W173" s="5">
        <v>44210</v>
      </c>
      <c r="X173" s="1">
        <v>999000</v>
      </c>
      <c r="Z173" s="5">
        <v>44302</v>
      </c>
      <c r="AB173" s="1" t="s">
        <v>44</v>
      </c>
      <c r="AF173" s="1">
        <v>10016</v>
      </c>
      <c r="AJ173" s="1">
        <v>2020</v>
      </c>
      <c r="AK173" s="1" t="s">
        <v>46</v>
      </c>
      <c r="AL173" s="1">
        <v>100</v>
      </c>
    </row>
    <row r="174" spans="1:38" x14ac:dyDescent="0.2">
      <c r="A174" s="2" t="str">
        <f>HYPERLINK("https://www.compass.com/listing/368-3rd-avenue-unit-15a-manhattan-ny-10016/694958193273778497/","368 3rd Ave, Unit 15A")</f>
        <v>368 3rd Ave, Unit 15A</v>
      </c>
      <c r="B174" s="2" t="str">
        <f t="shared" si="26"/>
        <v>Vu New York</v>
      </c>
      <c r="C174" s="1" t="s">
        <v>93</v>
      </c>
      <c r="D174" s="1" t="s">
        <v>41</v>
      </c>
      <c r="E174" s="3">
        <v>1165000</v>
      </c>
      <c r="F174" s="1">
        <v>1912.9720853858701</v>
      </c>
      <c r="G174" s="1">
        <v>3</v>
      </c>
      <c r="H174" s="1">
        <v>1</v>
      </c>
      <c r="I174" s="1">
        <v>1</v>
      </c>
      <c r="J174" s="1">
        <v>1</v>
      </c>
      <c r="K174" s="1">
        <v>1</v>
      </c>
      <c r="M174" s="1">
        <v>609</v>
      </c>
      <c r="N174" s="1">
        <v>785</v>
      </c>
      <c r="O174" s="1">
        <v>1430</v>
      </c>
      <c r="P174" s="1">
        <v>645</v>
      </c>
      <c r="Q174" s="1" t="s">
        <v>42</v>
      </c>
      <c r="S174" s="1" t="s">
        <v>42</v>
      </c>
      <c r="T174" s="1" t="s">
        <v>138</v>
      </c>
      <c r="U174" s="1">
        <v>155</v>
      </c>
      <c r="V174" s="5">
        <v>44411</v>
      </c>
      <c r="W174" s="5">
        <v>44210</v>
      </c>
      <c r="X174" s="1">
        <v>1165000</v>
      </c>
      <c r="Z174" s="5">
        <v>44365</v>
      </c>
      <c r="AB174" s="1" t="s">
        <v>44</v>
      </c>
      <c r="AF174" s="1">
        <v>10016</v>
      </c>
      <c r="AJ174" s="1">
        <v>2020</v>
      </c>
      <c r="AK174" s="1" t="s">
        <v>46</v>
      </c>
      <c r="AL174" s="1">
        <v>100</v>
      </c>
    </row>
    <row r="175" spans="1:38" x14ac:dyDescent="0.2">
      <c r="A175" s="2" t="str">
        <f>HYPERLINK("https://www.compass.com/listing/368-3rd-avenue-unit-6d-manhattan-ny-10016/694958194557235857/","368 3rd Ave, Unit 6D")</f>
        <v>368 3rd Ave, Unit 6D</v>
      </c>
      <c r="B175" s="2" t="str">
        <f t="shared" si="26"/>
        <v>Vu New York</v>
      </c>
      <c r="C175" s="1" t="s">
        <v>93</v>
      </c>
      <c r="D175" s="1" t="s">
        <v>41</v>
      </c>
      <c r="E175" s="3">
        <v>1335000</v>
      </c>
      <c r="F175" s="1">
        <v>2188.52459016393</v>
      </c>
      <c r="G175" s="1">
        <v>3</v>
      </c>
      <c r="H175" s="1">
        <v>1</v>
      </c>
      <c r="I175" s="1">
        <v>1</v>
      </c>
      <c r="J175" s="1">
        <v>1</v>
      </c>
      <c r="K175" s="1">
        <v>1</v>
      </c>
      <c r="M175" s="1">
        <v>610</v>
      </c>
      <c r="N175" s="1">
        <v>908</v>
      </c>
      <c r="O175" s="1">
        <v>1654</v>
      </c>
      <c r="P175" s="1">
        <v>746</v>
      </c>
      <c r="Q175" s="1" t="s">
        <v>42</v>
      </c>
      <c r="S175" s="1" t="s">
        <v>42</v>
      </c>
      <c r="T175" s="1" t="s">
        <v>138</v>
      </c>
      <c r="U175" s="1">
        <v>96</v>
      </c>
      <c r="V175" s="5">
        <v>44377</v>
      </c>
      <c r="W175" s="5">
        <v>44210</v>
      </c>
      <c r="X175" s="1">
        <v>1335000</v>
      </c>
      <c r="Z175" s="5">
        <v>44307</v>
      </c>
      <c r="AB175" s="1" t="s">
        <v>44</v>
      </c>
      <c r="AF175" s="1">
        <v>10016</v>
      </c>
      <c r="AI175" s="1" t="s">
        <v>115</v>
      </c>
      <c r="AJ175" s="1">
        <v>2020</v>
      </c>
      <c r="AK175" s="1" t="s">
        <v>46</v>
      </c>
      <c r="AL175" s="1">
        <v>100</v>
      </c>
    </row>
    <row r="176" spans="1:38" x14ac:dyDescent="0.2">
      <c r="A176" s="2" t="str">
        <f>HYPERLINK("https://www.compass.com/listing/368-3rd-avenue-unit-7a-manhattan-ny-10016/694958188534214377/","368 3rd Ave, Unit 7A")</f>
        <v>368 3rd Ave, Unit 7A</v>
      </c>
      <c r="B176" s="2" t="str">
        <f t="shared" si="26"/>
        <v>Vu New York</v>
      </c>
      <c r="C176" s="1" t="s">
        <v>93</v>
      </c>
      <c r="D176" s="1" t="s">
        <v>41</v>
      </c>
      <c r="E176" s="3">
        <v>899000</v>
      </c>
      <c r="F176" s="1">
        <v>1718.9292543020999</v>
      </c>
      <c r="G176" s="1">
        <v>2</v>
      </c>
      <c r="H176" s="1" t="s">
        <v>94</v>
      </c>
      <c r="I176" s="1">
        <v>1</v>
      </c>
      <c r="J176" s="1">
        <v>1</v>
      </c>
      <c r="K176" s="1">
        <v>1</v>
      </c>
      <c r="M176" s="1">
        <v>523</v>
      </c>
      <c r="N176" s="1">
        <v>675</v>
      </c>
      <c r="O176" s="1">
        <v>1230</v>
      </c>
      <c r="P176" s="1">
        <v>555</v>
      </c>
      <c r="Q176" s="1" t="s">
        <v>42</v>
      </c>
      <c r="S176" s="1" t="s">
        <v>42</v>
      </c>
      <c r="T176" s="1" t="s">
        <v>138</v>
      </c>
      <c r="U176" s="1">
        <v>167</v>
      </c>
      <c r="V176" s="5">
        <v>44411</v>
      </c>
      <c r="W176" s="5">
        <v>44210</v>
      </c>
      <c r="X176" s="1">
        <v>899000</v>
      </c>
      <c r="Z176" s="5">
        <v>44378</v>
      </c>
      <c r="AB176" s="1" t="s">
        <v>44</v>
      </c>
      <c r="AF176" s="1">
        <v>10016</v>
      </c>
      <c r="AJ176" s="1">
        <v>2020</v>
      </c>
      <c r="AK176" s="1" t="s">
        <v>46</v>
      </c>
      <c r="AL176" s="1">
        <v>100</v>
      </c>
    </row>
    <row r="177" spans="1:38" x14ac:dyDescent="0.2">
      <c r="A177" s="2" t="str">
        <f>HYPERLINK("https://www.compass.com/listing/368-3rd-avenue-unit-6c-manhattan-ny-10016/694958158880566929/","368 3rd Ave, Unit 6C")</f>
        <v>368 3rd Ave, Unit 6C</v>
      </c>
      <c r="B177" s="2" t="str">
        <f t="shared" si="26"/>
        <v>Vu New York</v>
      </c>
      <c r="C177" s="1" t="s">
        <v>93</v>
      </c>
      <c r="D177" s="1" t="s">
        <v>41</v>
      </c>
      <c r="E177" s="3">
        <v>1499500</v>
      </c>
      <c r="F177" s="1">
        <v>1947.4025974025899</v>
      </c>
      <c r="G177" s="1">
        <v>3</v>
      </c>
      <c r="H177" s="1">
        <v>1</v>
      </c>
      <c r="I177" s="1">
        <v>1</v>
      </c>
      <c r="J177" s="1">
        <v>1</v>
      </c>
      <c r="K177" s="1">
        <v>1</v>
      </c>
      <c r="M177" s="1">
        <v>770</v>
      </c>
      <c r="N177" s="1">
        <v>1110</v>
      </c>
      <c r="O177" s="1">
        <v>2022</v>
      </c>
      <c r="P177" s="1">
        <v>912</v>
      </c>
      <c r="Q177" s="1" t="s">
        <v>42</v>
      </c>
      <c r="S177" s="1" t="s">
        <v>42</v>
      </c>
      <c r="T177" s="1" t="s">
        <v>138</v>
      </c>
      <c r="U177" s="1">
        <v>214</v>
      </c>
      <c r="V177" s="5">
        <v>44425</v>
      </c>
      <c r="W177" s="5">
        <v>44210</v>
      </c>
      <c r="X177" s="1">
        <v>1499500</v>
      </c>
      <c r="Z177" s="5">
        <v>44425</v>
      </c>
      <c r="AB177" s="1" t="s">
        <v>44</v>
      </c>
      <c r="AF177" s="1">
        <v>10016</v>
      </c>
      <c r="AI177" s="1" t="s">
        <v>115</v>
      </c>
      <c r="AJ177" s="1">
        <v>2020</v>
      </c>
      <c r="AK177" s="1" t="s">
        <v>46</v>
      </c>
      <c r="AL177" s="1">
        <v>100</v>
      </c>
    </row>
    <row r="178" spans="1:38" x14ac:dyDescent="0.2">
      <c r="A178" s="2" t="str">
        <f>HYPERLINK("https://www.compass.com/listing/368-3rd-avenue-unit-15c-manhattan-ny-10016/786798116609372401/","368 3rd Ave, Unit 15C")</f>
        <v>368 3rd Ave, Unit 15C</v>
      </c>
      <c r="B178" s="2" t="str">
        <f t="shared" si="26"/>
        <v>Vu New York</v>
      </c>
      <c r="C178" s="1" t="s">
        <v>93</v>
      </c>
      <c r="D178" s="1" t="s">
        <v>41</v>
      </c>
      <c r="E178" s="3">
        <v>2375000</v>
      </c>
      <c r="F178" s="1">
        <v>2384.5381526104402</v>
      </c>
      <c r="G178" s="1">
        <v>4</v>
      </c>
      <c r="H178" s="1">
        <v>2</v>
      </c>
      <c r="I178" s="1">
        <v>2</v>
      </c>
      <c r="J178" s="1">
        <v>2</v>
      </c>
      <c r="K178" s="1">
        <v>2</v>
      </c>
      <c r="M178" s="1">
        <v>996</v>
      </c>
      <c r="N178" s="1">
        <v>1286</v>
      </c>
      <c r="O178" s="1">
        <v>2343</v>
      </c>
      <c r="P178" s="1">
        <v>1057</v>
      </c>
      <c r="Q178" s="1" t="s">
        <v>42</v>
      </c>
      <c r="S178" s="1" t="s">
        <v>42</v>
      </c>
      <c r="T178" s="1" t="s">
        <v>138</v>
      </c>
      <c r="V178" s="5">
        <v>44400</v>
      </c>
      <c r="W178" s="5">
        <v>44337</v>
      </c>
      <c r="X178" s="1">
        <v>2375000</v>
      </c>
      <c r="Z178" s="5">
        <v>44337</v>
      </c>
      <c r="AB178" s="1" t="s">
        <v>44</v>
      </c>
      <c r="AF178" s="1">
        <v>10016</v>
      </c>
      <c r="AJ178" s="1">
        <v>2020</v>
      </c>
      <c r="AK178" s="1" t="s">
        <v>46</v>
      </c>
      <c r="AL178" s="1">
        <v>100</v>
      </c>
    </row>
    <row r="179" spans="1:38" x14ac:dyDescent="0.2">
      <c r="A179" s="2" t="str">
        <f>HYPERLINK("https://www.compass.com/listing/368-3rd-avenue-unit-27b-manhattan-ny-10016/761468373102980721/","368 3rd Ave, Unit 27B")</f>
        <v>368 3rd Ave, Unit 27B</v>
      </c>
      <c r="B179" s="2" t="str">
        <f t="shared" si="26"/>
        <v>Vu New York</v>
      </c>
      <c r="C179" s="1" t="s">
        <v>93</v>
      </c>
      <c r="D179" s="1" t="s">
        <v>41</v>
      </c>
      <c r="E179" s="3">
        <v>3850000</v>
      </c>
      <c r="F179" s="1">
        <v>2378.0111179740502</v>
      </c>
      <c r="G179" s="1">
        <v>5.5</v>
      </c>
      <c r="H179" s="1">
        <v>3</v>
      </c>
      <c r="I179" s="1">
        <v>4</v>
      </c>
      <c r="J179" s="1">
        <v>3.5</v>
      </c>
      <c r="K179" s="1">
        <v>3</v>
      </c>
      <c r="L179" s="1">
        <v>1</v>
      </c>
      <c r="M179" s="4">
        <v>1619</v>
      </c>
      <c r="N179" s="1">
        <v>2090</v>
      </c>
      <c r="O179" s="1">
        <v>3808</v>
      </c>
      <c r="P179" s="1">
        <v>1718</v>
      </c>
      <c r="Q179" s="1" t="s">
        <v>42</v>
      </c>
      <c r="S179" s="1" t="s">
        <v>42</v>
      </c>
      <c r="T179" s="1" t="s">
        <v>138</v>
      </c>
      <c r="U179" s="1">
        <v>2</v>
      </c>
      <c r="V179" s="5">
        <v>44377</v>
      </c>
      <c r="W179" s="5">
        <v>44300</v>
      </c>
      <c r="X179" s="1">
        <v>3850000</v>
      </c>
      <c r="Z179" s="5">
        <v>44302</v>
      </c>
      <c r="AB179" s="1" t="s">
        <v>44</v>
      </c>
      <c r="AF179" s="1">
        <v>10016</v>
      </c>
      <c r="AJ179" s="1">
        <v>2020</v>
      </c>
      <c r="AK179" s="1" t="s">
        <v>46</v>
      </c>
      <c r="AL179" s="1">
        <v>100</v>
      </c>
    </row>
    <row r="180" spans="1:38" x14ac:dyDescent="0.2">
      <c r="A180" s="2" t="str">
        <f>HYPERLINK("https://www.compass.com/listing/368-3rd-avenue-unit-6b-manhattan-ny-10016/850589616402284409/","368 3rd Ave, Unit 6B")</f>
        <v>368 3rd Ave, Unit 6B</v>
      </c>
      <c r="B180" s="2" t="str">
        <f t="shared" si="26"/>
        <v>Vu New York</v>
      </c>
      <c r="C180" s="1" t="s">
        <v>93</v>
      </c>
      <c r="D180" s="1" t="s">
        <v>41</v>
      </c>
      <c r="E180" s="3">
        <v>1925000</v>
      </c>
      <c r="F180" s="1">
        <v>1790.6976744185999</v>
      </c>
      <c r="G180" s="1">
        <v>4</v>
      </c>
      <c r="H180" s="1">
        <v>2</v>
      </c>
      <c r="I180" s="1">
        <v>2</v>
      </c>
      <c r="J180" s="1">
        <v>2</v>
      </c>
      <c r="K180" s="1">
        <v>2</v>
      </c>
      <c r="M180" s="4">
        <v>1075</v>
      </c>
      <c r="N180" s="1">
        <v>1388</v>
      </c>
      <c r="O180" s="1">
        <v>2528</v>
      </c>
      <c r="P180" s="1">
        <v>1140</v>
      </c>
      <c r="Q180" s="1" t="s">
        <v>42</v>
      </c>
      <c r="S180" s="1" t="s">
        <v>42</v>
      </c>
      <c r="T180" s="1" t="s">
        <v>138</v>
      </c>
      <c r="U180" s="1">
        <v>449</v>
      </c>
      <c r="V180" s="5">
        <v>44425</v>
      </c>
      <c r="W180" s="5">
        <v>43882</v>
      </c>
      <c r="X180" s="1">
        <v>1925000</v>
      </c>
      <c r="Z180" s="5">
        <v>44425</v>
      </c>
      <c r="AB180" s="1" t="s">
        <v>44</v>
      </c>
      <c r="AF180" s="1">
        <v>10016</v>
      </c>
      <c r="AJ180" s="1">
        <v>2020</v>
      </c>
      <c r="AK180" s="1" t="s">
        <v>46</v>
      </c>
      <c r="AL180" s="1">
        <v>100</v>
      </c>
    </row>
    <row r="181" spans="1:38" x14ac:dyDescent="0.2">
      <c r="A181" s="2" t="str">
        <f>HYPERLINK("https://www.compass.com/listing/368-3rd-avenue-unit-27a-manhattan-ny-10016/694958093600644665/","368 3rd Ave, Unit 27A")</f>
        <v>368 3rd Ave, Unit 27A</v>
      </c>
      <c r="B181" s="2" t="str">
        <f t="shared" si="26"/>
        <v>Vu New York</v>
      </c>
      <c r="C181" s="1" t="s">
        <v>93</v>
      </c>
      <c r="D181" s="1" t="s">
        <v>41</v>
      </c>
      <c r="E181" s="3">
        <v>3695000</v>
      </c>
      <c r="F181" s="1">
        <v>2302.1806853582498</v>
      </c>
      <c r="G181" s="1">
        <v>5</v>
      </c>
      <c r="H181" s="1">
        <v>3</v>
      </c>
      <c r="I181" s="1">
        <v>4</v>
      </c>
      <c r="J181" s="1">
        <v>3.5</v>
      </c>
      <c r="K181" s="1">
        <v>3</v>
      </c>
      <c r="L181" s="1">
        <v>1</v>
      </c>
      <c r="M181" s="4">
        <v>1605</v>
      </c>
      <c r="N181" s="1">
        <v>2072</v>
      </c>
      <c r="O181" s="1">
        <v>3775</v>
      </c>
      <c r="P181" s="1">
        <v>1703</v>
      </c>
      <c r="Q181" s="1" t="s">
        <v>42</v>
      </c>
      <c r="S181" s="1" t="s">
        <v>42</v>
      </c>
      <c r="T181" s="1" t="s">
        <v>138</v>
      </c>
      <c r="U181" s="1">
        <v>127</v>
      </c>
      <c r="V181" s="5">
        <v>44398</v>
      </c>
      <c r="W181" s="5">
        <v>44210</v>
      </c>
      <c r="X181" s="1">
        <v>3695000</v>
      </c>
      <c r="Z181" s="5">
        <v>44337</v>
      </c>
      <c r="AB181" s="1" t="s">
        <v>44</v>
      </c>
      <c r="AF181" s="1">
        <v>10016</v>
      </c>
      <c r="AJ181" s="1">
        <v>2020</v>
      </c>
      <c r="AK181" s="1" t="s">
        <v>46</v>
      </c>
      <c r="AL181" s="1">
        <v>100</v>
      </c>
    </row>
    <row r="182" spans="1:38" x14ac:dyDescent="0.2">
      <c r="A182" s="2" t="str">
        <f>HYPERLINK("https://www.compass.com/listing/120-west-118th-street-unit-ph4-manhattan-ny-10026/542016064023372433/","120 W 118th St, Unit PH4")</f>
        <v>120 W 118th St, Unit PH4</v>
      </c>
      <c r="B182" s="2" t="str">
        <f>HYPERLINK("https://www.compass.com/building/120-w-118th-st-manhattan-ny-10026/281974302755086805/","120 W 118th St")</f>
        <v>120 W 118th St</v>
      </c>
      <c r="C182" s="1" t="s">
        <v>60</v>
      </c>
      <c r="D182" s="1" t="s">
        <v>41</v>
      </c>
      <c r="E182" s="3">
        <v>1695000</v>
      </c>
      <c r="F182" s="1">
        <v>1399.6696944673799</v>
      </c>
      <c r="G182" s="1">
        <v>4.5</v>
      </c>
      <c r="H182" s="1">
        <v>2</v>
      </c>
      <c r="I182" s="1">
        <v>3</v>
      </c>
      <c r="J182" s="1">
        <v>2.5</v>
      </c>
      <c r="K182" s="1">
        <v>2</v>
      </c>
      <c r="L182" s="1">
        <v>1</v>
      </c>
      <c r="M182" s="4">
        <v>1211</v>
      </c>
      <c r="N182" s="1">
        <v>316</v>
      </c>
      <c r="O182" s="1">
        <v>799</v>
      </c>
      <c r="P182" s="1">
        <v>483</v>
      </c>
      <c r="Q182" s="1" t="s">
        <v>42</v>
      </c>
      <c r="S182" s="1" t="s">
        <v>42</v>
      </c>
      <c r="T182" s="1" t="s">
        <v>138</v>
      </c>
      <c r="U182" s="1">
        <v>393</v>
      </c>
      <c r="V182" s="5">
        <v>44407</v>
      </c>
      <c r="W182" s="5">
        <v>43992</v>
      </c>
      <c r="X182" s="1">
        <v>1790000</v>
      </c>
      <c r="Z182" s="5">
        <v>44407</v>
      </c>
      <c r="AB182" s="1" t="s">
        <v>44</v>
      </c>
      <c r="AF182" s="1">
        <v>10026</v>
      </c>
      <c r="AI182" s="1" t="s">
        <v>149</v>
      </c>
      <c r="AJ182" s="1">
        <v>1910</v>
      </c>
      <c r="AL182" s="1">
        <v>30</v>
      </c>
    </row>
    <row r="183" spans="1:38" x14ac:dyDescent="0.2">
      <c r="A183" s="2" t="str">
        <f>HYPERLINK("https://www.compass.com/listing/424-west-52nd-street-unit-6-manhattan-ny-10019/648572396604238705/","424 W 52nd St, Unit 6")</f>
        <v>424 W 52nd St, Unit 6</v>
      </c>
      <c r="B183" s="2" t="str">
        <f>HYPERLINK("https://www.compass.com/building/424-w-52nd-st-manhattan-ny-10019/293533825726707925/","424 W 52nd St")</f>
        <v>424 W 52nd St</v>
      </c>
      <c r="C183" s="1" t="s">
        <v>67</v>
      </c>
      <c r="D183" s="1" t="s">
        <v>41</v>
      </c>
      <c r="E183" s="3">
        <v>2199000</v>
      </c>
      <c r="F183" s="1">
        <v>1665.9090909090901</v>
      </c>
      <c r="G183" s="1">
        <v>4</v>
      </c>
      <c r="H183" s="1">
        <v>2</v>
      </c>
      <c r="I183" s="1">
        <v>2</v>
      </c>
      <c r="J183" s="1">
        <v>2</v>
      </c>
      <c r="K183" s="1">
        <v>2</v>
      </c>
      <c r="M183" s="4">
        <v>1320</v>
      </c>
      <c r="N183" s="1">
        <v>517</v>
      </c>
      <c r="O183" s="1">
        <v>2165</v>
      </c>
      <c r="P183" s="1">
        <v>1648</v>
      </c>
      <c r="Q183" s="1" t="s">
        <v>42</v>
      </c>
      <c r="S183" s="1" t="s">
        <v>42</v>
      </c>
      <c r="T183" s="1" t="s">
        <v>138</v>
      </c>
      <c r="U183" s="1">
        <v>234</v>
      </c>
      <c r="V183" s="5">
        <v>44399</v>
      </c>
      <c r="W183" s="5">
        <v>44145</v>
      </c>
      <c r="X183" s="1">
        <v>2369000</v>
      </c>
      <c r="Z183" s="5">
        <v>44380</v>
      </c>
      <c r="AB183" s="1" t="s">
        <v>44</v>
      </c>
      <c r="AF183" s="1">
        <v>10019</v>
      </c>
      <c r="AI183" s="1" t="s">
        <v>125</v>
      </c>
      <c r="AJ183" s="1">
        <v>1998</v>
      </c>
      <c r="AK183" s="1" t="s">
        <v>86</v>
      </c>
      <c r="AL183" s="1">
        <v>2</v>
      </c>
    </row>
    <row r="184" spans="1:38" x14ac:dyDescent="0.2">
      <c r="A184" s="2" t="str">
        <f>HYPERLINK("https://www.compass.com/listing/10-lenox-avenue-unit-3a-manhattan-ny-10026/254122514463080465/","10 Lenox Ave, Unit 3A")</f>
        <v>10 Lenox Ave, Unit 3A</v>
      </c>
      <c r="B184" s="2" t="str">
        <f>HYPERLINK("https://www.compass.com/building/10-lenox-manhattan-ny/455664456039547173/","10 Lenox")</f>
        <v>10 Lenox</v>
      </c>
      <c r="C184" s="1" t="s">
        <v>60</v>
      </c>
      <c r="D184" s="1" t="s">
        <v>41</v>
      </c>
      <c r="E184" s="3">
        <v>1282500</v>
      </c>
      <c r="F184" s="1">
        <v>1245.14563106796</v>
      </c>
      <c r="G184" s="1">
        <v>4</v>
      </c>
      <c r="H184" s="1">
        <v>2</v>
      </c>
      <c r="I184" s="1">
        <v>2</v>
      </c>
      <c r="J184" s="1">
        <v>2</v>
      </c>
      <c r="K184" s="1">
        <v>2</v>
      </c>
      <c r="M184" s="4">
        <v>1030</v>
      </c>
      <c r="N184" s="1">
        <v>930</v>
      </c>
      <c r="O184" s="1">
        <v>2303</v>
      </c>
      <c r="P184" s="1">
        <v>1373</v>
      </c>
      <c r="Q184" s="1" t="s">
        <v>42</v>
      </c>
      <c r="S184" s="1" t="s">
        <v>42</v>
      </c>
      <c r="T184" s="1" t="s">
        <v>138</v>
      </c>
      <c r="U184" s="1">
        <v>716</v>
      </c>
      <c r="V184" s="5">
        <v>44419</v>
      </c>
      <c r="W184" s="5">
        <v>43602</v>
      </c>
      <c r="X184" s="1">
        <v>1350000</v>
      </c>
      <c r="Z184" s="5">
        <v>44419</v>
      </c>
      <c r="AB184" s="1" t="s">
        <v>44</v>
      </c>
      <c r="AF184" s="1">
        <v>10026</v>
      </c>
      <c r="AI184" s="1" t="s">
        <v>107</v>
      </c>
      <c r="AJ184" s="1">
        <v>2019</v>
      </c>
      <c r="AK184" s="1" t="s">
        <v>64</v>
      </c>
      <c r="AL184" s="1">
        <v>29</v>
      </c>
    </row>
    <row r="185" spans="1:38" x14ac:dyDescent="0.2">
      <c r="A185" s="2" t="str">
        <f>HYPERLINK("https://www.compass.com/listing/424-west-52nd-street-unit-1-manhattan-ny-10019/547807727916137809/","424 W 52nd St, Unit 1")</f>
        <v>424 W 52nd St, Unit 1</v>
      </c>
      <c r="B185" s="2" t="str">
        <f>HYPERLINK("https://www.compass.com/building/424-w-52nd-st-manhattan-ny-10019/293533825726707925/","424 W 52nd St")</f>
        <v>424 W 52nd St</v>
      </c>
      <c r="C185" s="1" t="s">
        <v>67</v>
      </c>
      <c r="D185" s="1" t="s">
        <v>41</v>
      </c>
      <c r="E185" s="3">
        <v>1850000</v>
      </c>
      <c r="F185" s="1">
        <v>1987.1106337271699</v>
      </c>
      <c r="G185" s="1">
        <v>4</v>
      </c>
      <c r="H185" s="1">
        <v>2</v>
      </c>
      <c r="I185" s="1">
        <v>2</v>
      </c>
      <c r="J185" s="1">
        <v>2</v>
      </c>
      <c r="K185" s="1">
        <v>2</v>
      </c>
      <c r="M185" s="1">
        <v>931</v>
      </c>
      <c r="N185" s="1">
        <v>457</v>
      </c>
      <c r="O185" s="1">
        <v>1913</v>
      </c>
      <c r="P185" s="1">
        <v>1456</v>
      </c>
      <c r="Q185" s="1" t="s">
        <v>42</v>
      </c>
      <c r="S185" s="1" t="s">
        <v>42</v>
      </c>
      <c r="T185" s="1" t="s">
        <v>138</v>
      </c>
      <c r="U185" s="1">
        <v>296</v>
      </c>
      <c r="V185" s="5">
        <v>44427</v>
      </c>
      <c r="W185" s="5">
        <v>44005</v>
      </c>
      <c r="X185" s="1">
        <v>1850000</v>
      </c>
      <c r="Z185" s="5">
        <v>44366</v>
      </c>
      <c r="AB185" s="1" t="s">
        <v>44</v>
      </c>
      <c r="AF185" s="1">
        <v>10019</v>
      </c>
      <c r="AI185" s="1" t="s">
        <v>150</v>
      </c>
      <c r="AJ185" s="1">
        <v>1998</v>
      </c>
      <c r="AK185" s="1" t="s">
        <v>124</v>
      </c>
      <c r="AL185" s="1">
        <v>2</v>
      </c>
    </row>
    <row r="186" spans="1:38" x14ac:dyDescent="0.2">
      <c r="A186" s="2" t="str">
        <f>HYPERLINK("https://www.compass.com/listing/1325-5th-avenue-unit-4e-manhattan-ny-10029/791294289144588265/","1325 5th Ave, Unit 4E")</f>
        <v>1325 5th Ave, Unit 4E</v>
      </c>
      <c r="B186" s="2" t="str">
        <f t="shared" ref="B186:B187" si="27">HYPERLINK("https://www.compass.com/building/the-fifth-avenue-manhattan-ny/294843719022876805/","The Fifth Avenue")</f>
        <v>The Fifth Avenue</v>
      </c>
      <c r="C186" s="1" t="s">
        <v>60</v>
      </c>
      <c r="D186" s="1" t="s">
        <v>41</v>
      </c>
      <c r="E186" s="3">
        <v>695000</v>
      </c>
      <c r="F186" s="1">
        <v>1080.87091757387</v>
      </c>
      <c r="G186" s="1">
        <v>3</v>
      </c>
      <c r="H186" s="1">
        <v>1</v>
      </c>
      <c r="I186" s="1">
        <v>1</v>
      </c>
      <c r="J186" s="1">
        <v>1</v>
      </c>
      <c r="K186" s="1">
        <v>1</v>
      </c>
      <c r="M186" s="1">
        <v>643</v>
      </c>
      <c r="N186" s="1">
        <v>716.01</v>
      </c>
      <c r="O186" s="1">
        <v>1075.95</v>
      </c>
      <c r="P186" s="1">
        <v>359.916666666666</v>
      </c>
      <c r="Q186" s="1" t="s">
        <v>42</v>
      </c>
      <c r="S186" s="1" t="s">
        <v>42</v>
      </c>
      <c r="T186" s="1" t="s">
        <v>138</v>
      </c>
      <c r="U186" s="1">
        <v>14</v>
      </c>
      <c r="V186" s="5">
        <v>44412</v>
      </c>
      <c r="W186" s="5">
        <v>44343</v>
      </c>
      <c r="X186" s="1">
        <v>695000</v>
      </c>
      <c r="Z186" s="5">
        <v>44357</v>
      </c>
      <c r="AB186" s="1" t="s">
        <v>44</v>
      </c>
      <c r="AF186" s="1">
        <v>10029</v>
      </c>
      <c r="AI186" s="1" t="s">
        <v>113</v>
      </c>
      <c r="AJ186" s="1">
        <v>1989</v>
      </c>
      <c r="AK186" s="1" t="s">
        <v>46</v>
      </c>
      <c r="AL186" s="1">
        <v>71</v>
      </c>
    </row>
    <row r="187" spans="1:38" x14ac:dyDescent="0.2">
      <c r="A187" s="2" t="str">
        <f>HYPERLINK("https://www.compass.com/listing/1325-5th-avenue-unit-2g-manhattan-ny-10029/322679354454871409/","1325 5th Ave, Unit 2G")</f>
        <v>1325 5th Ave, Unit 2G</v>
      </c>
      <c r="B187" s="2" t="str">
        <f t="shared" si="27"/>
        <v>The Fifth Avenue</v>
      </c>
      <c r="C187" s="1" t="s">
        <v>60</v>
      </c>
      <c r="D187" s="1" t="s">
        <v>41</v>
      </c>
      <c r="E187" s="3">
        <v>685000</v>
      </c>
      <c r="F187" s="1">
        <v>1022.38805970149</v>
      </c>
      <c r="G187" s="1">
        <v>3</v>
      </c>
      <c r="H187" s="1">
        <v>1</v>
      </c>
      <c r="I187" s="1">
        <v>1</v>
      </c>
      <c r="J187" s="1">
        <v>1</v>
      </c>
      <c r="K187" s="1">
        <v>1</v>
      </c>
      <c r="M187" s="1">
        <v>670</v>
      </c>
      <c r="N187" s="1">
        <v>671.46</v>
      </c>
      <c r="O187" s="1">
        <v>1010.83</v>
      </c>
      <c r="P187" s="1">
        <v>339.33333333333297</v>
      </c>
      <c r="Q187" s="1" t="s">
        <v>42</v>
      </c>
      <c r="S187" s="1" t="s">
        <v>42</v>
      </c>
      <c r="T187" s="1" t="s">
        <v>138</v>
      </c>
      <c r="U187" s="1">
        <v>371</v>
      </c>
      <c r="V187" s="5">
        <v>44427</v>
      </c>
      <c r="W187" s="5">
        <v>44028</v>
      </c>
      <c r="X187" s="1">
        <v>685000</v>
      </c>
      <c r="Z187" s="5">
        <v>44399</v>
      </c>
      <c r="AB187" s="1" t="s">
        <v>44</v>
      </c>
      <c r="AF187" s="1">
        <v>10029</v>
      </c>
      <c r="AI187" s="1" t="s">
        <v>113</v>
      </c>
      <c r="AJ187" s="1">
        <v>1989</v>
      </c>
      <c r="AK187" s="1" t="s">
        <v>46</v>
      </c>
      <c r="AL187" s="1">
        <v>71</v>
      </c>
    </row>
    <row r="188" spans="1:38" x14ac:dyDescent="0.2">
      <c r="A188" s="2" t="str">
        <f>HYPERLINK("https://www.compass.com/listing/543-west-122nd-street-unit-14f-manhattan-ny-10027/249224266673824065/","543 W 122nd St, Unit 14F")</f>
        <v>543 W 122nd St, Unit 14F</v>
      </c>
      <c r="B188" s="2" t="str">
        <f t="shared" ref="B188:B213" si="28">HYPERLINK("https://www.compass.com/building/vandewater-manhattan-ny/282058681657361477/","Vandewater")</f>
        <v>Vandewater</v>
      </c>
      <c r="C188" s="1" t="s">
        <v>95</v>
      </c>
      <c r="D188" s="1" t="s">
        <v>41</v>
      </c>
      <c r="E188" s="3">
        <v>1040000</v>
      </c>
      <c r="F188" s="1">
        <v>1918.8191881918799</v>
      </c>
      <c r="G188" s="1">
        <v>2</v>
      </c>
      <c r="H188" s="1" t="s">
        <v>94</v>
      </c>
      <c r="I188" s="1">
        <v>1</v>
      </c>
      <c r="J188" s="1">
        <v>1</v>
      </c>
      <c r="K188" s="1">
        <v>1</v>
      </c>
      <c r="M188" s="1">
        <v>542</v>
      </c>
      <c r="N188" s="1">
        <v>541</v>
      </c>
      <c r="O188" s="1">
        <v>1188</v>
      </c>
      <c r="P188" s="1">
        <v>647</v>
      </c>
      <c r="Q188" s="1" t="s">
        <v>42</v>
      </c>
      <c r="S188" s="1" t="s">
        <v>42</v>
      </c>
      <c r="T188" s="1" t="s">
        <v>138</v>
      </c>
      <c r="U188" s="1">
        <v>110</v>
      </c>
      <c r="V188" s="5">
        <v>44367</v>
      </c>
      <c r="W188" s="5">
        <v>43485</v>
      </c>
      <c r="X188" s="1">
        <v>1040000</v>
      </c>
      <c r="Z188" s="5">
        <v>43596</v>
      </c>
      <c r="AB188" s="1" t="s">
        <v>44</v>
      </c>
      <c r="AF188" s="1">
        <v>10027</v>
      </c>
      <c r="AI188" s="1" t="s">
        <v>96</v>
      </c>
      <c r="AJ188" s="1">
        <v>2019</v>
      </c>
      <c r="AK188" s="1" t="s">
        <v>46</v>
      </c>
      <c r="AL188" s="1">
        <v>183</v>
      </c>
    </row>
    <row r="189" spans="1:38" x14ac:dyDescent="0.2">
      <c r="A189" s="2" t="str">
        <f>HYPERLINK("https://www.compass.com/listing/543-west-122nd-street-unit-10f-manhattan-ny-10027/268077944960835489/","543 W 122nd St, Unit 10F")</f>
        <v>543 W 122nd St, Unit 10F</v>
      </c>
      <c r="B189" s="2" t="str">
        <f t="shared" si="28"/>
        <v>Vandewater</v>
      </c>
      <c r="C189" s="1" t="s">
        <v>95</v>
      </c>
      <c r="D189" s="1" t="s">
        <v>41</v>
      </c>
      <c r="E189" s="3">
        <v>1010000</v>
      </c>
      <c r="F189" s="1">
        <v>1863.46863468634</v>
      </c>
      <c r="G189" s="1">
        <v>2</v>
      </c>
      <c r="H189" s="1" t="s">
        <v>94</v>
      </c>
      <c r="I189" s="1">
        <v>1</v>
      </c>
      <c r="J189" s="1">
        <v>1</v>
      </c>
      <c r="K189" s="1">
        <v>1</v>
      </c>
      <c r="M189" s="1">
        <v>542</v>
      </c>
      <c r="N189" s="1">
        <v>541</v>
      </c>
      <c r="O189" s="1">
        <v>1188</v>
      </c>
      <c r="P189" s="1">
        <v>647</v>
      </c>
      <c r="Q189" s="1" t="s">
        <v>42</v>
      </c>
      <c r="S189" s="1" t="s">
        <v>42</v>
      </c>
      <c r="T189" s="1" t="s">
        <v>138</v>
      </c>
      <c r="U189" s="1">
        <v>136</v>
      </c>
      <c r="V189" s="5">
        <v>44367</v>
      </c>
      <c r="W189" s="5">
        <v>43485</v>
      </c>
      <c r="X189" s="1">
        <v>1010000</v>
      </c>
      <c r="Z189" s="5">
        <v>43622</v>
      </c>
      <c r="AB189" s="1" t="s">
        <v>44</v>
      </c>
      <c r="AF189" s="1">
        <v>10027</v>
      </c>
      <c r="AI189" s="1" t="s">
        <v>96</v>
      </c>
      <c r="AJ189" s="1">
        <v>2019</v>
      </c>
      <c r="AK189" s="1" t="s">
        <v>46</v>
      </c>
      <c r="AL189" s="1">
        <v>183</v>
      </c>
    </row>
    <row r="190" spans="1:38" x14ac:dyDescent="0.2">
      <c r="A190" s="2" t="str">
        <f>HYPERLINK("https://www.compass.com/listing/543-west-122nd-street-unit-2b-manhattan-ny-10027/308684249280406257/","543 W 122nd St, Unit 2B")</f>
        <v>543 W 122nd St, Unit 2B</v>
      </c>
      <c r="B190" s="2" t="str">
        <f t="shared" si="28"/>
        <v>Vandewater</v>
      </c>
      <c r="C190" s="1" t="s">
        <v>95</v>
      </c>
      <c r="D190" s="1" t="s">
        <v>41</v>
      </c>
      <c r="E190" s="3">
        <v>1170000</v>
      </c>
      <c r="F190" s="1">
        <v>1407.9422382671401</v>
      </c>
      <c r="G190" s="1">
        <v>3</v>
      </c>
      <c r="H190" s="1">
        <v>1</v>
      </c>
      <c r="I190" s="1">
        <v>1</v>
      </c>
      <c r="J190" s="1">
        <v>1</v>
      </c>
      <c r="K190" s="1">
        <v>1</v>
      </c>
      <c r="M190" s="1">
        <v>831</v>
      </c>
      <c r="N190" s="1">
        <v>829</v>
      </c>
      <c r="O190" s="1">
        <v>1821</v>
      </c>
      <c r="P190" s="1">
        <v>992</v>
      </c>
      <c r="Q190" s="1" t="s">
        <v>42</v>
      </c>
      <c r="S190" s="1" t="s">
        <v>42</v>
      </c>
      <c r="T190" s="1" t="s">
        <v>138</v>
      </c>
      <c r="U190" s="1">
        <v>201</v>
      </c>
      <c r="V190" s="5">
        <v>44420</v>
      </c>
      <c r="W190" s="5">
        <v>43476</v>
      </c>
      <c r="X190" s="1">
        <v>1170000</v>
      </c>
      <c r="Z190" s="5">
        <v>43678</v>
      </c>
      <c r="AB190" s="1" t="s">
        <v>44</v>
      </c>
      <c r="AF190" s="1">
        <v>10027</v>
      </c>
      <c r="AI190" s="1" t="s">
        <v>96</v>
      </c>
      <c r="AJ190" s="1">
        <v>2019</v>
      </c>
      <c r="AK190" s="1" t="s">
        <v>46</v>
      </c>
      <c r="AL190" s="1">
        <v>183</v>
      </c>
    </row>
    <row r="191" spans="1:38" x14ac:dyDescent="0.2">
      <c r="A191" s="2" t="str">
        <f>HYPERLINK("https://www.compass.com/listing/543-west-122nd-street-unit-12d-manhattan-ny-10027/233096023336139841/","543 W 122nd St, Unit 12D")</f>
        <v>543 W 122nd St, Unit 12D</v>
      </c>
      <c r="B191" s="2" t="str">
        <f t="shared" si="28"/>
        <v>Vandewater</v>
      </c>
      <c r="C191" s="1" t="s">
        <v>95</v>
      </c>
      <c r="D191" s="1" t="s">
        <v>41</v>
      </c>
      <c r="E191" s="3">
        <v>1220000</v>
      </c>
      <c r="F191" s="1">
        <v>1584.41558441558</v>
      </c>
      <c r="G191" s="1">
        <v>3</v>
      </c>
      <c r="H191" s="1">
        <v>1</v>
      </c>
      <c r="I191" s="1">
        <v>1</v>
      </c>
      <c r="J191" s="1">
        <v>1</v>
      </c>
      <c r="K191" s="1">
        <v>1</v>
      </c>
      <c r="M191" s="1">
        <v>770</v>
      </c>
      <c r="N191" s="1">
        <v>768</v>
      </c>
      <c r="O191" s="1">
        <v>1687</v>
      </c>
      <c r="P191" s="1">
        <v>919</v>
      </c>
      <c r="Q191" s="1" t="s">
        <v>42</v>
      </c>
      <c r="S191" s="1" t="s">
        <v>42</v>
      </c>
      <c r="T191" s="1" t="s">
        <v>138</v>
      </c>
      <c r="U191" s="1">
        <v>88</v>
      </c>
      <c r="V191" s="5">
        <v>44367</v>
      </c>
      <c r="W191" s="5">
        <v>43485</v>
      </c>
      <c r="X191" s="1">
        <v>1220000</v>
      </c>
      <c r="Z191" s="5">
        <v>43573</v>
      </c>
      <c r="AB191" s="1" t="s">
        <v>44</v>
      </c>
      <c r="AF191" s="1">
        <v>10027</v>
      </c>
      <c r="AI191" s="1" t="s">
        <v>96</v>
      </c>
      <c r="AJ191" s="1">
        <v>2019</v>
      </c>
      <c r="AK191" s="1" t="s">
        <v>46</v>
      </c>
      <c r="AL191" s="1">
        <v>183</v>
      </c>
    </row>
    <row r="192" spans="1:38" x14ac:dyDescent="0.2">
      <c r="A192" s="2" t="str">
        <f>HYPERLINK("https://www.compass.com/listing/543-west-122nd-street-unit-9d-manhattan-ny-10027/324511530443535633/","543 W 122nd St, Unit 9D")</f>
        <v>543 W 122nd St, Unit 9D</v>
      </c>
      <c r="B192" s="2" t="str">
        <f t="shared" si="28"/>
        <v>Vandewater</v>
      </c>
      <c r="C192" s="1" t="s">
        <v>95</v>
      </c>
      <c r="D192" s="1" t="s">
        <v>41</v>
      </c>
      <c r="E192" s="3">
        <v>1190000</v>
      </c>
      <c r="F192" s="1">
        <v>1545.45454545454</v>
      </c>
      <c r="G192" s="1">
        <v>3</v>
      </c>
      <c r="H192" s="1">
        <v>1</v>
      </c>
      <c r="I192" s="1">
        <v>1</v>
      </c>
      <c r="J192" s="1">
        <v>1</v>
      </c>
      <c r="K192" s="1">
        <v>1</v>
      </c>
      <c r="M192" s="1">
        <v>770</v>
      </c>
      <c r="N192" s="1">
        <v>768</v>
      </c>
      <c r="O192" s="1">
        <v>1687</v>
      </c>
      <c r="P192" s="1">
        <v>919</v>
      </c>
      <c r="Q192" s="1" t="s">
        <v>42</v>
      </c>
      <c r="S192" s="1" t="s">
        <v>42</v>
      </c>
      <c r="T192" s="1" t="s">
        <v>138</v>
      </c>
      <c r="U192" s="1">
        <v>223</v>
      </c>
      <c r="V192" s="5">
        <v>44367</v>
      </c>
      <c r="W192" s="5">
        <v>43476</v>
      </c>
      <c r="X192" s="1">
        <v>1190000</v>
      </c>
      <c r="Z192" s="5">
        <v>43700</v>
      </c>
      <c r="AB192" s="1" t="s">
        <v>44</v>
      </c>
      <c r="AF192" s="1">
        <v>10027</v>
      </c>
      <c r="AI192" s="1" t="s">
        <v>96</v>
      </c>
      <c r="AJ192" s="1">
        <v>2019</v>
      </c>
      <c r="AK192" s="1" t="s">
        <v>46</v>
      </c>
      <c r="AL192" s="1">
        <v>183</v>
      </c>
    </row>
    <row r="193" spans="1:38" x14ac:dyDescent="0.2">
      <c r="A193" s="2" t="str">
        <f>HYPERLINK("https://www.compass.com/listing/543-west-122nd-street-unit-21c-manhattan-ny-10027/832612666013703097/","543 W 122nd St, Unit 21C")</f>
        <v>543 W 122nd St, Unit 21C</v>
      </c>
      <c r="B193" s="2" t="str">
        <f t="shared" si="28"/>
        <v>Vandewater</v>
      </c>
      <c r="C193" s="1" t="s">
        <v>95</v>
      </c>
      <c r="D193" s="1" t="s">
        <v>41</v>
      </c>
      <c r="E193" s="3">
        <v>2125000</v>
      </c>
      <c r="F193" s="1">
        <v>1685.17049960348</v>
      </c>
      <c r="G193" s="1">
        <v>4</v>
      </c>
      <c r="H193" s="1">
        <v>2</v>
      </c>
      <c r="I193" s="1">
        <v>2</v>
      </c>
      <c r="J193" s="1">
        <v>2</v>
      </c>
      <c r="K193" s="1">
        <v>2</v>
      </c>
      <c r="M193" s="4">
        <v>1261</v>
      </c>
      <c r="N193" s="1">
        <v>1239</v>
      </c>
      <c r="O193" s="1">
        <v>2726</v>
      </c>
      <c r="P193" s="1">
        <v>1487</v>
      </c>
      <c r="Q193" s="1" t="s">
        <v>42</v>
      </c>
      <c r="S193" s="1" t="s">
        <v>42</v>
      </c>
      <c r="T193" s="1" t="s">
        <v>138</v>
      </c>
      <c r="U193" s="1">
        <v>820</v>
      </c>
      <c r="V193" s="5">
        <v>44401</v>
      </c>
      <c r="W193" s="5">
        <v>43486</v>
      </c>
      <c r="X193" s="1">
        <v>1</v>
      </c>
      <c r="Z193" s="5">
        <v>44401</v>
      </c>
      <c r="AB193" s="1" t="s">
        <v>44</v>
      </c>
      <c r="AF193" s="1">
        <v>10027</v>
      </c>
      <c r="AI193" s="1" t="s">
        <v>96</v>
      </c>
      <c r="AJ193" s="1">
        <v>2019</v>
      </c>
      <c r="AK193" s="1" t="s">
        <v>46</v>
      </c>
      <c r="AL193" s="1">
        <v>183</v>
      </c>
    </row>
    <row r="194" spans="1:38" x14ac:dyDescent="0.2">
      <c r="A194" s="2" t="str">
        <f>HYPERLINK("https://www.compass.com/listing/543-west-122nd-street-unit-10d-manhattan-ny-10027/263715191487771953/","543 W 122nd St, Unit 10D")</f>
        <v>543 W 122nd St, Unit 10D</v>
      </c>
      <c r="B194" s="2" t="str">
        <f t="shared" si="28"/>
        <v>Vandewater</v>
      </c>
      <c r="C194" s="1" t="s">
        <v>95</v>
      </c>
      <c r="D194" s="1" t="s">
        <v>41</v>
      </c>
      <c r="E194" s="3">
        <v>1200000</v>
      </c>
      <c r="F194" s="1">
        <v>1558.4415584415499</v>
      </c>
      <c r="G194" s="1">
        <v>3</v>
      </c>
      <c r="H194" s="1">
        <v>1</v>
      </c>
      <c r="I194" s="1">
        <v>1</v>
      </c>
      <c r="J194" s="1">
        <v>1</v>
      </c>
      <c r="K194" s="1">
        <v>1</v>
      </c>
      <c r="M194" s="1">
        <v>770</v>
      </c>
      <c r="N194" s="1">
        <v>768</v>
      </c>
      <c r="O194" s="1">
        <v>1687</v>
      </c>
      <c r="P194" s="1">
        <v>919</v>
      </c>
      <c r="Q194" s="1" t="s">
        <v>42</v>
      </c>
      <c r="S194" s="1" t="s">
        <v>42</v>
      </c>
      <c r="T194" s="1" t="s">
        <v>138</v>
      </c>
      <c r="U194" s="1">
        <v>130</v>
      </c>
      <c r="V194" s="5">
        <v>44367</v>
      </c>
      <c r="W194" s="5">
        <v>43485</v>
      </c>
      <c r="X194" s="1">
        <v>1200000</v>
      </c>
      <c r="Z194" s="5">
        <v>43616</v>
      </c>
      <c r="AB194" s="1" t="s">
        <v>44</v>
      </c>
      <c r="AF194" s="1">
        <v>10027</v>
      </c>
      <c r="AI194" s="1" t="s">
        <v>96</v>
      </c>
      <c r="AJ194" s="1">
        <v>2019</v>
      </c>
      <c r="AK194" s="1" t="s">
        <v>46</v>
      </c>
      <c r="AL194" s="1">
        <v>183</v>
      </c>
    </row>
    <row r="195" spans="1:38" x14ac:dyDescent="0.2">
      <c r="A195" s="2" t="str">
        <f>HYPERLINK("https://www.compass.com/listing/543-west-122nd-street-unit-22f-manhattan-ny-10027/239034579539731937/","543 W 122nd St, Unit 22F")</f>
        <v>543 W 122nd St, Unit 22F</v>
      </c>
      <c r="B195" s="2" t="str">
        <f t="shared" si="28"/>
        <v>Vandewater</v>
      </c>
      <c r="C195" s="1" t="s">
        <v>95</v>
      </c>
      <c r="D195" s="1" t="s">
        <v>41</v>
      </c>
      <c r="E195" s="3">
        <v>1345000</v>
      </c>
      <c r="F195" s="1">
        <v>1834.9249658935801</v>
      </c>
      <c r="G195" s="1">
        <v>3</v>
      </c>
      <c r="H195" s="1">
        <v>1</v>
      </c>
      <c r="I195" s="1">
        <v>1</v>
      </c>
      <c r="J195" s="1">
        <v>1</v>
      </c>
      <c r="K195" s="1">
        <v>1</v>
      </c>
      <c r="M195" s="1">
        <v>733</v>
      </c>
      <c r="N195" s="1">
        <v>731</v>
      </c>
      <c r="O195" s="1">
        <v>1606</v>
      </c>
      <c r="P195" s="1">
        <v>875</v>
      </c>
      <c r="Q195" s="1" t="s">
        <v>42</v>
      </c>
      <c r="S195" s="1" t="s">
        <v>42</v>
      </c>
      <c r="T195" s="1" t="s">
        <v>138</v>
      </c>
      <c r="U195" s="1">
        <v>96</v>
      </c>
      <c r="V195" s="5">
        <v>44385</v>
      </c>
      <c r="W195" s="5">
        <v>43485</v>
      </c>
      <c r="X195" s="1">
        <v>1325000</v>
      </c>
      <c r="Z195" s="5">
        <v>43582</v>
      </c>
      <c r="AB195" s="1" t="s">
        <v>44</v>
      </c>
      <c r="AF195" s="1">
        <v>10027</v>
      </c>
      <c r="AI195" s="1" t="s">
        <v>96</v>
      </c>
      <c r="AJ195" s="1">
        <v>2019</v>
      </c>
      <c r="AK195" s="1" t="s">
        <v>46</v>
      </c>
      <c r="AL195" s="1">
        <v>183</v>
      </c>
    </row>
    <row r="196" spans="1:38" x14ac:dyDescent="0.2">
      <c r="A196" s="2" t="str">
        <f>HYPERLINK("https://www.compass.com/listing/543-west-122nd-street-unit-11d-manhattan-ny-10027/242700891507982337/","543 W 122nd St, Unit 11D")</f>
        <v>543 W 122nd St, Unit 11D</v>
      </c>
      <c r="B196" s="2" t="str">
        <f t="shared" si="28"/>
        <v>Vandewater</v>
      </c>
      <c r="C196" s="1" t="s">
        <v>95</v>
      </c>
      <c r="D196" s="1" t="s">
        <v>41</v>
      </c>
      <c r="E196" s="3">
        <v>1210000</v>
      </c>
      <c r="F196" s="1">
        <v>1571.42857142857</v>
      </c>
      <c r="G196" s="1">
        <v>3</v>
      </c>
      <c r="H196" s="1">
        <v>1</v>
      </c>
      <c r="I196" s="1">
        <v>1</v>
      </c>
      <c r="J196" s="1">
        <v>1</v>
      </c>
      <c r="K196" s="1">
        <v>1</v>
      </c>
      <c r="M196" s="1">
        <v>770</v>
      </c>
      <c r="N196" s="1">
        <v>768</v>
      </c>
      <c r="O196" s="1">
        <v>1687</v>
      </c>
      <c r="P196" s="1">
        <v>919</v>
      </c>
      <c r="Q196" s="1" t="s">
        <v>42</v>
      </c>
      <c r="S196" s="1" t="s">
        <v>42</v>
      </c>
      <c r="T196" s="1" t="s">
        <v>138</v>
      </c>
      <c r="U196" s="1">
        <v>101</v>
      </c>
      <c r="V196" s="5">
        <v>44367</v>
      </c>
      <c r="W196" s="5">
        <v>43485</v>
      </c>
      <c r="X196" s="1">
        <v>1210000</v>
      </c>
      <c r="Z196" s="5">
        <v>43587</v>
      </c>
      <c r="AB196" s="1" t="s">
        <v>44</v>
      </c>
      <c r="AF196" s="1">
        <v>10027</v>
      </c>
      <c r="AI196" s="1" t="s">
        <v>96</v>
      </c>
      <c r="AJ196" s="1">
        <v>2019</v>
      </c>
      <c r="AK196" s="1" t="s">
        <v>46</v>
      </c>
      <c r="AL196" s="1">
        <v>183</v>
      </c>
    </row>
    <row r="197" spans="1:38" x14ac:dyDescent="0.2">
      <c r="A197" s="2" t="str">
        <f>HYPERLINK("https://www.compass.com/listing/543-west-122nd-street-unit-21f-manhattan-ny-10027/277431260295489329/","543 W 122nd St, Unit 21F")</f>
        <v>543 W 122nd St, Unit 21F</v>
      </c>
      <c r="B197" s="2" t="str">
        <f t="shared" si="28"/>
        <v>Vandewater</v>
      </c>
      <c r="C197" s="1" t="s">
        <v>95</v>
      </c>
      <c r="D197" s="1" t="s">
        <v>41</v>
      </c>
      <c r="E197" s="3">
        <v>1310000</v>
      </c>
      <c r="F197" s="1">
        <v>1787.17598908594</v>
      </c>
      <c r="G197" s="1">
        <v>3</v>
      </c>
      <c r="H197" s="1">
        <v>1</v>
      </c>
      <c r="I197" s="1">
        <v>1</v>
      </c>
      <c r="J197" s="1">
        <v>1</v>
      </c>
      <c r="K197" s="1">
        <v>1</v>
      </c>
      <c r="M197" s="1">
        <v>733</v>
      </c>
      <c r="N197" s="1">
        <v>731</v>
      </c>
      <c r="O197" s="1">
        <v>1606</v>
      </c>
      <c r="P197" s="1">
        <v>875</v>
      </c>
      <c r="Q197" s="1" t="s">
        <v>42</v>
      </c>
      <c r="S197" s="1" t="s">
        <v>42</v>
      </c>
      <c r="T197" s="1" t="s">
        <v>138</v>
      </c>
      <c r="U197" s="1">
        <v>149</v>
      </c>
      <c r="V197" s="5">
        <v>44367</v>
      </c>
      <c r="W197" s="5">
        <v>43485</v>
      </c>
      <c r="X197" s="1">
        <v>1310000</v>
      </c>
      <c r="Z197" s="5">
        <v>43635</v>
      </c>
      <c r="AB197" s="1" t="s">
        <v>44</v>
      </c>
      <c r="AF197" s="1">
        <v>10027</v>
      </c>
      <c r="AI197" s="1" t="s">
        <v>96</v>
      </c>
      <c r="AJ197" s="1">
        <v>2019</v>
      </c>
      <c r="AK197" s="1" t="s">
        <v>46</v>
      </c>
      <c r="AL197" s="1">
        <v>183</v>
      </c>
    </row>
    <row r="198" spans="1:38" x14ac:dyDescent="0.2">
      <c r="A198" s="2" t="str">
        <f>HYPERLINK("https://www.compass.com/listing/543-west-122nd-street-unit-26c-manhattan-ny-10027/338364225163891489/","543 W 122nd St, Unit 26C")</f>
        <v>543 W 122nd St, Unit 26C</v>
      </c>
      <c r="B198" s="2" t="str">
        <f t="shared" si="28"/>
        <v>Vandewater</v>
      </c>
      <c r="C198" s="1" t="s">
        <v>95</v>
      </c>
      <c r="D198" s="1" t="s">
        <v>41</v>
      </c>
      <c r="E198" s="3">
        <v>2500000</v>
      </c>
      <c r="F198" s="1">
        <v>1904.0365575019</v>
      </c>
      <c r="G198" s="1">
        <v>4</v>
      </c>
      <c r="H198" s="1">
        <v>2</v>
      </c>
      <c r="I198" s="1">
        <v>2</v>
      </c>
      <c r="J198" s="1">
        <v>2</v>
      </c>
      <c r="K198" s="1">
        <v>2</v>
      </c>
      <c r="M198" s="4">
        <v>1313</v>
      </c>
      <c r="N198" s="1">
        <v>1306</v>
      </c>
      <c r="O198" s="1">
        <v>2873</v>
      </c>
      <c r="P198" s="1">
        <v>1567</v>
      </c>
      <c r="Q198" s="1" t="s">
        <v>42</v>
      </c>
      <c r="S198" s="1" t="s">
        <v>42</v>
      </c>
      <c r="T198" s="1" t="s">
        <v>138</v>
      </c>
      <c r="U198" s="1">
        <v>58</v>
      </c>
      <c r="V198" s="5">
        <v>44389</v>
      </c>
      <c r="W198" s="5">
        <v>44270</v>
      </c>
      <c r="X198" s="1">
        <v>2500000</v>
      </c>
      <c r="Z198" s="5">
        <v>44328</v>
      </c>
      <c r="AB198" s="1" t="s">
        <v>44</v>
      </c>
      <c r="AF198" s="1">
        <v>10027</v>
      </c>
      <c r="AI198" s="1" t="s">
        <v>96</v>
      </c>
      <c r="AJ198" s="1">
        <v>2019</v>
      </c>
      <c r="AK198" s="1" t="s">
        <v>46</v>
      </c>
      <c r="AL198" s="1">
        <v>183</v>
      </c>
    </row>
    <row r="199" spans="1:38" x14ac:dyDescent="0.2">
      <c r="A199" s="2" t="str">
        <f>HYPERLINK("https://www.compass.com/listing/543-west-122nd-street-unit-6e-manhattan-ny-10027/487567558678214201/","543 W 122nd St, Unit 6E")</f>
        <v>543 W 122nd St, Unit 6E</v>
      </c>
      <c r="B199" s="2" t="str">
        <f t="shared" si="28"/>
        <v>Vandewater</v>
      </c>
      <c r="C199" s="1" t="s">
        <v>95</v>
      </c>
      <c r="D199" s="1" t="s">
        <v>41</v>
      </c>
      <c r="E199" s="3">
        <v>1800000</v>
      </c>
      <c r="F199" s="1">
        <v>1513.87720773759</v>
      </c>
      <c r="G199" s="1">
        <v>4</v>
      </c>
      <c r="H199" s="1">
        <v>2</v>
      </c>
      <c r="I199" s="1">
        <v>2</v>
      </c>
      <c r="J199" s="1">
        <v>2</v>
      </c>
      <c r="K199" s="1">
        <v>2</v>
      </c>
      <c r="M199" s="4">
        <v>1189</v>
      </c>
      <c r="N199" s="1">
        <v>1182</v>
      </c>
      <c r="O199" s="1">
        <v>2601</v>
      </c>
      <c r="P199" s="1">
        <v>1419</v>
      </c>
      <c r="Q199" s="1" t="s">
        <v>42</v>
      </c>
      <c r="S199" s="1" t="s">
        <v>42</v>
      </c>
      <c r="T199" s="1" t="s">
        <v>138</v>
      </c>
      <c r="U199" s="1">
        <v>147</v>
      </c>
      <c r="V199" s="5">
        <v>44418</v>
      </c>
      <c r="W199" s="5">
        <v>44270</v>
      </c>
      <c r="X199" s="1">
        <v>1775000</v>
      </c>
      <c r="Z199" s="5">
        <v>44418</v>
      </c>
      <c r="AB199" s="1" t="s">
        <v>44</v>
      </c>
      <c r="AF199" s="1">
        <v>10027</v>
      </c>
      <c r="AI199" s="1" t="s">
        <v>96</v>
      </c>
      <c r="AJ199" s="1">
        <v>2019</v>
      </c>
      <c r="AK199" s="1" t="s">
        <v>46</v>
      </c>
      <c r="AL199" s="1">
        <v>183</v>
      </c>
    </row>
    <row r="200" spans="1:38" x14ac:dyDescent="0.2">
      <c r="A200" s="2" t="str">
        <f>HYPERLINK("https://www.compass.com/listing/543-west-122nd-street-unit-21e-manhattan-ny-10027/277421550632753329/","543 W 122nd St, Unit 21E")</f>
        <v>543 W 122nd St, Unit 21E</v>
      </c>
      <c r="B200" s="2" t="str">
        <f t="shared" si="28"/>
        <v>Vandewater</v>
      </c>
      <c r="C200" s="1" t="s">
        <v>95</v>
      </c>
      <c r="D200" s="1" t="s">
        <v>41</v>
      </c>
      <c r="E200" s="3">
        <v>2275000</v>
      </c>
      <c r="F200" s="1">
        <v>1764.9340574088401</v>
      </c>
      <c r="G200" s="1">
        <v>4</v>
      </c>
      <c r="H200" s="1">
        <v>2</v>
      </c>
      <c r="I200" s="1">
        <v>2</v>
      </c>
      <c r="J200" s="1">
        <v>2</v>
      </c>
      <c r="K200" s="1">
        <v>2</v>
      </c>
      <c r="M200" s="4">
        <v>1289</v>
      </c>
      <c r="N200" s="1">
        <v>1285</v>
      </c>
      <c r="O200" s="1">
        <v>2823</v>
      </c>
      <c r="P200" s="1">
        <v>1538</v>
      </c>
      <c r="Q200" s="1" t="s">
        <v>42</v>
      </c>
      <c r="S200" s="1" t="s">
        <v>42</v>
      </c>
      <c r="T200" s="1" t="s">
        <v>138</v>
      </c>
      <c r="U200" s="1">
        <v>149</v>
      </c>
      <c r="V200" s="5">
        <v>44367</v>
      </c>
      <c r="W200" s="5">
        <v>43485</v>
      </c>
      <c r="X200" s="1">
        <v>2275000</v>
      </c>
      <c r="Z200" s="5">
        <v>43635</v>
      </c>
      <c r="AB200" s="1" t="s">
        <v>44</v>
      </c>
      <c r="AF200" s="1">
        <v>10027</v>
      </c>
      <c r="AI200" s="1" t="s">
        <v>96</v>
      </c>
      <c r="AJ200" s="1">
        <v>2019</v>
      </c>
      <c r="AK200" s="1" t="s">
        <v>46</v>
      </c>
      <c r="AL200" s="1">
        <v>183</v>
      </c>
    </row>
    <row r="201" spans="1:38" x14ac:dyDescent="0.2">
      <c r="A201" s="2" t="str">
        <f>HYPERLINK("https://www.compass.com/listing/543-west-122nd-street-unit-15d-manhattan-ny-10027/629664695068373985/","543 W 122nd St, Unit 15D")</f>
        <v>543 W 122nd St, Unit 15D</v>
      </c>
      <c r="B201" s="2" t="str">
        <f t="shared" si="28"/>
        <v>Vandewater</v>
      </c>
      <c r="C201" s="1" t="s">
        <v>95</v>
      </c>
      <c r="D201" s="1" t="s">
        <v>41</v>
      </c>
      <c r="E201" s="3">
        <v>1240000</v>
      </c>
      <c r="F201" s="1">
        <v>1610.38961038961</v>
      </c>
      <c r="G201" s="1">
        <v>3</v>
      </c>
      <c r="H201" s="1">
        <v>1</v>
      </c>
      <c r="I201" s="1">
        <v>1</v>
      </c>
      <c r="J201" s="1">
        <v>1</v>
      </c>
      <c r="K201" s="1">
        <v>1</v>
      </c>
      <c r="M201" s="1">
        <v>770</v>
      </c>
      <c r="N201" s="1">
        <v>766</v>
      </c>
      <c r="O201" s="1">
        <v>1685</v>
      </c>
      <c r="P201" s="1">
        <v>919</v>
      </c>
      <c r="Q201" s="1" t="s">
        <v>42</v>
      </c>
      <c r="S201" s="1" t="s">
        <v>42</v>
      </c>
      <c r="T201" s="1" t="s">
        <v>138</v>
      </c>
      <c r="U201" s="1">
        <v>257</v>
      </c>
      <c r="V201" s="5">
        <v>44378</v>
      </c>
      <c r="W201" s="5">
        <v>44120</v>
      </c>
      <c r="X201" s="1">
        <v>1240000</v>
      </c>
      <c r="Z201" s="5">
        <v>44378</v>
      </c>
      <c r="AB201" s="1" t="s">
        <v>44</v>
      </c>
      <c r="AF201" s="1">
        <v>10027</v>
      </c>
      <c r="AI201" s="1" t="s">
        <v>96</v>
      </c>
      <c r="AJ201" s="1">
        <v>2019</v>
      </c>
      <c r="AK201" s="1" t="s">
        <v>46</v>
      </c>
      <c r="AL201" s="1">
        <v>183</v>
      </c>
    </row>
    <row r="202" spans="1:38" x14ac:dyDescent="0.2">
      <c r="A202" s="2" t="str">
        <f>HYPERLINK("https://www.compass.com/listing/543-west-122nd-street-unit-19d-manhattan-ny-10027/171544042423811457/","543 W 122nd St, Unit 19D")</f>
        <v>543 W 122nd St, Unit 19D</v>
      </c>
      <c r="B202" s="2" t="str">
        <f t="shared" si="28"/>
        <v>Vandewater</v>
      </c>
      <c r="C202" s="1" t="s">
        <v>95</v>
      </c>
      <c r="D202" s="1" t="s">
        <v>41</v>
      </c>
      <c r="E202" s="3">
        <v>1295000</v>
      </c>
      <c r="F202" s="1">
        <v>1681.8181818181799</v>
      </c>
      <c r="G202" s="1">
        <v>3</v>
      </c>
      <c r="H202" s="1">
        <v>1</v>
      </c>
      <c r="I202" s="1">
        <v>1</v>
      </c>
      <c r="J202" s="1">
        <v>1</v>
      </c>
      <c r="K202" s="1">
        <v>1</v>
      </c>
      <c r="M202" s="1">
        <v>770</v>
      </c>
      <c r="N202" s="1">
        <v>768</v>
      </c>
      <c r="O202" s="1">
        <v>1687</v>
      </c>
      <c r="P202" s="1">
        <v>919</v>
      </c>
      <c r="Q202" s="1" t="s">
        <v>42</v>
      </c>
      <c r="S202" s="1" t="s">
        <v>42</v>
      </c>
      <c r="T202" s="1" t="s">
        <v>138</v>
      </c>
      <c r="V202" s="5">
        <v>44367</v>
      </c>
      <c r="W202" s="5">
        <v>43582</v>
      </c>
      <c r="Z202" s="5">
        <v>43582</v>
      </c>
      <c r="AB202" s="1" t="s">
        <v>44</v>
      </c>
      <c r="AF202" s="1">
        <v>10027</v>
      </c>
      <c r="AI202" s="1" t="s">
        <v>96</v>
      </c>
      <c r="AJ202" s="1">
        <v>2019</v>
      </c>
      <c r="AK202" s="1" t="s">
        <v>46</v>
      </c>
      <c r="AL202" s="1">
        <v>183</v>
      </c>
    </row>
    <row r="203" spans="1:38" x14ac:dyDescent="0.2">
      <c r="A203" s="2" t="str">
        <f>HYPERLINK("https://www.compass.com/listing/543-west-122nd-street-unit-23d-manhattan-ny-10027/249224266925483921/","543 W 122nd St, Unit 23D")</f>
        <v>543 W 122nd St, Unit 23D</v>
      </c>
      <c r="B203" s="2" t="str">
        <f t="shared" si="28"/>
        <v>Vandewater</v>
      </c>
      <c r="C203" s="1" t="s">
        <v>95</v>
      </c>
      <c r="D203" s="1" t="s">
        <v>41</v>
      </c>
      <c r="E203" s="3">
        <v>1355000</v>
      </c>
      <c r="F203" s="1">
        <v>1759.7402597402499</v>
      </c>
      <c r="G203" s="1">
        <v>3</v>
      </c>
      <c r="H203" s="1">
        <v>1</v>
      </c>
      <c r="I203" s="1">
        <v>1</v>
      </c>
      <c r="J203" s="1">
        <v>1</v>
      </c>
      <c r="K203" s="1">
        <v>1</v>
      </c>
      <c r="M203" s="1">
        <v>770</v>
      </c>
      <c r="N203" s="1">
        <v>768</v>
      </c>
      <c r="O203" s="1">
        <v>1687</v>
      </c>
      <c r="P203" s="1">
        <v>919</v>
      </c>
      <c r="Q203" s="1" t="s">
        <v>42</v>
      </c>
      <c r="S203" s="1" t="s">
        <v>42</v>
      </c>
      <c r="T203" s="1" t="s">
        <v>138</v>
      </c>
      <c r="U203" s="1">
        <v>109</v>
      </c>
      <c r="V203" s="5">
        <v>44367</v>
      </c>
      <c r="W203" s="5">
        <v>43486</v>
      </c>
      <c r="X203" s="1">
        <v>1355000</v>
      </c>
      <c r="Z203" s="5">
        <v>43596</v>
      </c>
      <c r="AB203" s="1" t="s">
        <v>44</v>
      </c>
      <c r="AF203" s="1">
        <v>10027</v>
      </c>
      <c r="AI203" s="1" t="s">
        <v>96</v>
      </c>
      <c r="AJ203" s="1">
        <v>2019</v>
      </c>
      <c r="AK203" s="1" t="s">
        <v>46</v>
      </c>
      <c r="AL203" s="1">
        <v>183</v>
      </c>
    </row>
    <row r="204" spans="1:38" x14ac:dyDescent="0.2">
      <c r="A204" s="2" t="str">
        <f>HYPERLINK("https://www.compass.com/listing/543-west-122nd-street-unit-20f-manhattan-ny-10027/297589731026024753/","543 W 122nd St, Unit 20F")</f>
        <v>543 W 122nd St, Unit 20F</v>
      </c>
      <c r="B204" s="2" t="str">
        <f t="shared" si="28"/>
        <v>Vandewater</v>
      </c>
      <c r="C204" s="1" t="s">
        <v>95</v>
      </c>
      <c r="D204" s="1" t="s">
        <v>41</v>
      </c>
      <c r="E204" s="3">
        <v>1295000</v>
      </c>
      <c r="F204" s="1">
        <v>1766.71214188267</v>
      </c>
      <c r="G204" s="1">
        <v>3</v>
      </c>
      <c r="H204" s="1">
        <v>1</v>
      </c>
      <c r="I204" s="1">
        <v>1</v>
      </c>
      <c r="J204" s="1">
        <v>1</v>
      </c>
      <c r="K204" s="1">
        <v>1</v>
      </c>
      <c r="M204" s="1">
        <v>733</v>
      </c>
      <c r="N204" s="1">
        <v>731</v>
      </c>
      <c r="O204" s="1">
        <v>1606</v>
      </c>
      <c r="P204" s="1">
        <v>875</v>
      </c>
      <c r="Q204" s="1" t="s">
        <v>42</v>
      </c>
      <c r="S204" s="1" t="s">
        <v>42</v>
      </c>
      <c r="T204" s="1" t="s">
        <v>138</v>
      </c>
      <c r="U204" s="1">
        <v>177</v>
      </c>
      <c r="V204" s="5">
        <v>44367</v>
      </c>
      <c r="W204" s="5">
        <v>43485</v>
      </c>
      <c r="X204" s="1">
        <v>1295000</v>
      </c>
      <c r="Z204" s="5">
        <v>43662</v>
      </c>
      <c r="AB204" s="1" t="s">
        <v>44</v>
      </c>
      <c r="AF204" s="1">
        <v>10027</v>
      </c>
      <c r="AI204" s="1" t="s">
        <v>96</v>
      </c>
      <c r="AJ204" s="1">
        <v>2019</v>
      </c>
      <c r="AK204" s="1" t="s">
        <v>46</v>
      </c>
      <c r="AL204" s="1">
        <v>183</v>
      </c>
    </row>
    <row r="205" spans="1:38" x14ac:dyDescent="0.2">
      <c r="A205" s="2" t="str">
        <f>HYPERLINK("https://www.compass.com/listing/543-west-122nd-street-unit-21d-manhattan-ny-10027/339690555088562689/","543 W 122nd St, Unit 21D")</f>
        <v>543 W 122nd St, Unit 21D</v>
      </c>
      <c r="B205" s="2" t="str">
        <f t="shared" si="28"/>
        <v>Vandewater</v>
      </c>
      <c r="C205" s="1" t="s">
        <v>95</v>
      </c>
      <c r="D205" s="1" t="s">
        <v>41</v>
      </c>
      <c r="E205" s="3">
        <v>1325000</v>
      </c>
      <c r="F205" s="1">
        <v>1720.7792207792199</v>
      </c>
      <c r="G205" s="1">
        <v>3</v>
      </c>
      <c r="H205" s="1">
        <v>1</v>
      </c>
      <c r="I205" s="1">
        <v>1</v>
      </c>
      <c r="J205" s="1">
        <v>1</v>
      </c>
      <c r="K205" s="1">
        <v>1</v>
      </c>
      <c r="M205" s="1">
        <v>770</v>
      </c>
      <c r="N205" s="1">
        <v>766</v>
      </c>
      <c r="O205" s="1">
        <v>1685</v>
      </c>
      <c r="P205" s="1">
        <v>919</v>
      </c>
      <c r="Q205" s="1" t="s">
        <v>42</v>
      </c>
      <c r="S205" s="1" t="s">
        <v>42</v>
      </c>
      <c r="T205" s="1" t="s">
        <v>138</v>
      </c>
      <c r="V205" s="5">
        <v>44367</v>
      </c>
      <c r="W205" s="5">
        <v>43720</v>
      </c>
      <c r="X205" s="1">
        <v>1325000</v>
      </c>
      <c r="Z205" s="5">
        <v>43853</v>
      </c>
      <c r="AB205" s="1" t="s">
        <v>44</v>
      </c>
      <c r="AF205" s="1">
        <v>10027</v>
      </c>
      <c r="AI205" s="1" t="s">
        <v>96</v>
      </c>
      <c r="AJ205" s="1">
        <v>2019</v>
      </c>
      <c r="AK205" s="1" t="s">
        <v>46</v>
      </c>
      <c r="AL205" s="1">
        <v>183</v>
      </c>
    </row>
    <row r="206" spans="1:38" x14ac:dyDescent="0.2">
      <c r="A206" s="2" t="str">
        <f>HYPERLINK("https://www.compass.com/listing/543-west-122nd-street-unit-20d-manhattan-ny-10027/375893418913022513/","543 W 122nd St, Unit 20D")</f>
        <v>543 W 122nd St, Unit 20D</v>
      </c>
      <c r="B206" s="2" t="str">
        <f t="shared" si="28"/>
        <v>Vandewater</v>
      </c>
      <c r="C206" s="1" t="s">
        <v>95</v>
      </c>
      <c r="D206" s="1" t="s">
        <v>41</v>
      </c>
      <c r="E206" s="3">
        <v>1310000</v>
      </c>
      <c r="F206" s="1">
        <v>1701.2987012987001</v>
      </c>
      <c r="G206" s="1">
        <v>3</v>
      </c>
      <c r="H206" s="1">
        <v>1</v>
      </c>
      <c r="I206" s="1">
        <v>1</v>
      </c>
      <c r="J206" s="1">
        <v>1</v>
      </c>
      <c r="K206" s="1">
        <v>1</v>
      </c>
      <c r="M206" s="1">
        <v>770</v>
      </c>
      <c r="N206" s="1">
        <v>766</v>
      </c>
      <c r="O206" s="1">
        <v>1685</v>
      </c>
      <c r="P206" s="1">
        <v>919</v>
      </c>
      <c r="Q206" s="1" t="s">
        <v>42</v>
      </c>
      <c r="S206" s="1" t="s">
        <v>42</v>
      </c>
      <c r="T206" s="1" t="s">
        <v>138</v>
      </c>
      <c r="U206" s="1">
        <v>284</v>
      </c>
      <c r="V206" s="5">
        <v>44367</v>
      </c>
      <c r="W206" s="5">
        <v>43486</v>
      </c>
      <c r="X206" s="1">
        <v>1310000</v>
      </c>
      <c r="Z206" s="5">
        <v>43770</v>
      </c>
      <c r="AB206" s="1" t="s">
        <v>44</v>
      </c>
      <c r="AF206" s="1">
        <v>10027</v>
      </c>
      <c r="AI206" s="1" t="s">
        <v>96</v>
      </c>
      <c r="AJ206" s="1">
        <v>2019</v>
      </c>
      <c r="AK206" s="1" t="s">
        <v>46</v>
      </c>
      <c r="AL206" s="1">
        <v>183</v>
      </c>
    </row>
    <row r="207" spans="1:38" x14ac:dyDescent="0.2">
      <c r="A207" s="2" t="str">
        <f>HYPERLINK("https://www.compass.com/listing/543-west-122nd-street-unit-22d-manhattan-ny-10027/388997429763675841/","543 W 122nd St, Unit 22D")</f>
        <v>543 W 122nd St, Unit 22D</v>
      </c>
      <c r="B207" s="2" t="str">
        <f t="shared" si="28"/>
        <v>Vandewater</v>
      </c>
      <c r="C207" s="1" t="s">
        <v>95</v>
      </c>
      <c r="D207" s="1" t="s">
        <v>41</v>
      </c>
      <c r="E207" s="3">
        <v>1340000</v>
      </c>
      <c r="F207" s="1">
        <v>1740.2597402597401</v>
      </c>
      <c r="G207" s="1">
        <v>3</v>
      </c>
      <c r="H207" s="1">
        <v>1</v>
      </c>
      <c r="I207" s="1">
        <v>1</v>
      </c>
      <c r="J207" s="1">
        <v>1</v>
      </c>
      <c r="K207" s="1">
        <v>1</v>
      </c>
      <c r="M207" s="1">
        <v>770</v>
      </c>
      <c r="N207" s="1">
        <v>766</v>
      </c>
      <c r="O207" s="1">
        <v>1685</v>
      </c>
      <c r="P207" s="1">
        <v>919</v>
      </c>
      <c r="Q207" s="1" t="s">
        <v>42</v>
      </c>
      <c r="S207" s="1" t="s">
        <v>42</v>
      </c>
      <c r="T207" s="1" t="s">
        <v>138</v>
      </c>
      <c r="U207" s="1">
        <v>302</v>
      </c>
      <c r="V207" s="5">
        <v>44367</v>
      </c>
      <c r="W207" s="5">
        <v>43486</v>
      </c>
      <c r="X207" s="1">
        <v>1340000</v>
      </c>
      <c r="Z207" s="5">
        <v>43789</v>
      </c>
      <c r="AB207" s="1" t="s">
        <v>44</v>
      </c>
      <c r="AF207" s="1">
        <v>10027</v>
      </c>
      <c r="AI207" s="1" t="s">
        <v>96</v>
      </c>
      <c r="AJ207" s="1">
        <v>2019</v>
      </c>
      <c r="AK207" s="1" t="s">
        <v>46</v>
      </c>
      <c r="AL207" s="1">
        <v>183</v>
      </c>
    </row>
    <row r="208" spans="1:38" x14ac:dyDescent="0.2">
      <c r="A208" s="2" t="str">
        <f>HYPERLINK("https://www.compass.com/listing/543-west-122nd-street-unit-17d-manhattan-ny-10027/399116702444119377/","543 W 122nd St, Unit 17D")</f>
        <v>543 W 122nd St, Unit 17D</v>
      </c>
      <c r="B208" s="2" t="str">
        <f t="shared" si="28"/>
        <v>Vandewater</v>
      </c>
      <c r="C208" s="1" t="s">
        <v>95</v>
      </c>
      <c r="D208" s="1" t="s">
        <v>41</v>
      </c>
      <c r="E208" s="3">
        <v>1265000</v>
      </c>
      <c r="F208" s="1">
        <v>1642.8571428571399</v>
      </c>
      <c r="G208" s="1">
        <v>3</v>
      </c>
      <c r="H208" s="1">
        <v>1</v>
      </c>
      <c r="I208" s="1">
        <v>1</v>
      </c>
      <c r="J208" s="1">
        <v>1</v>
      </c>
      <c r="K208" s="1">
        <v>1</v>
      </c>
      <c r="M208" s="1">
        <v>770</v>
      </c>
      <c r="N208" s="1">
        <v>766</v>
      </c>
      <c r="O208" s="1">
        <v>1685</v>
      </c>
      <c r="P208" s="1">
        <v>919</v>
      </c>
      <c r="Q208" s="1" t="s">
        <v>42</v>
      </c>
      <c r="S208" s="1" t="s">
        <v>42</v>
      </c>
      <c r="T208" s="1" t="s">
        <v>138</v>
      </c>
      <c r="U208" s="1">
        <v>316</v>
      </c>
      <c r="V208" s="5">
        <v>44367</v>
      </c>
      <c r="W208" s="5">
        <v>43486</v>
      </c>
      <c r="X208" s="1">
        <v>1265000</v>
      </c>
      <c r="Z208" s="5">
        <v>43803</v>
      </c>
      <c r="AB208" s="1" t="s">
        <v>44</v>
      </c>
      <c r="AF208" s="1">
        <v>10027</v>
      </c>
      <c r="AI208" s="1" t="s">
        <v>96</v>
      </c>
      <c r="AJ208" s="1">
        <v>2019</v>
      </c>
      <c r="AK208" s="1" t="s">
        <v>46</v>
      </c>
      <c r="AL208" s="1">
        <v>183</v>
      </c>
    </row>
    <row r="209" spans="1:39" x14ac:dyDescent="0.2">
      <c r="A209" s="2" t="str">
        <f>HYPERLINK("https://www.compass.com/listing/543-west-122nd-street-unit-14d-manhattan-ny-10027/693503665227658769/","543 W 122nd St, Unit 14D")</f>
        <v>543 W 122nd St, Unit 14D</v>
      </c>
      <c r="B209" s="2" t="str">
        <f t="shared" si="28"/>
        <v>Vandewater</v>
      </c>
      <c r="C209" s="1" t="s">
        <v>95</v>
      </c>
      <c r="D209" s="1" t="s">
        <v>41</v>
      </c>
      <c r="E209" s="3">
        <v>1230000</v>
      </c>
      <c r="F209" s="1">
        <v>1597.4025974025899</v>
      </c>
      <c r="G209" s="1">
        <v>3</v>
      </c>
      <c r="H209" s="1">
        <v>1</v>
      </c>
      <c r="I209" s="1">
        <v>1</v>
      </c>
      <c r="J209" s="1">
        <v>1</v>
      </c>
      <c r="K209" s="1">
        <v>1</v>
      </c>
      <c r="M209" s="1">
        <v>770</v>
      </c>
      <c r="N209" s="1">
        <v>766</v>
      </c>
      <c r="O209" s="1">
        <v>1685</v>
      </c>
      <c r="P209" s="1">
        <v>919</v>
      </c>
      <c r="Q209" s="1" t="s">
        <v>42</v>
      </c>
      <c r="S209" s="1" t="s">
        <v>42</v>
      </c>
      <c r="T209" s="1" t="s">
        <v>138</v>
      </c>
      <c r="U209" s="1">
        <v>691</v>
      </c>
      <c r="V209" s="5">
        <v>44390</v>
      </c>
      <c r="W209" s="5">
        <v>43485</v>
      </c>
      <c r="X209" s="1">
        <v>1230000</v>
      </c>
      <c r="Z209" s="5">
        <v>44271</v>
      </c>
      <c r="AB209" s="1" t="s">
        <v>44</v>
      </c>
      <c r="AF209" s="1">
        <v>10027</v>
      </c>
      <c r="AI209" s="1" t="s">
        <v>96</v>
      </c>
      <c r="AJ209" s="1">
        <v>2019</v>
      </c>
      <c r="AK209" s="1" t="s">
        <v>46</v>
      </c>
      <c r="AL209" s="1">
        <v>183</v>
      </c>
    </row>
    <row r="210" spans="1:39" x14ac:dyDescent="0.2">
      <c r="A210" s="2" t="str">
        <f>HYPERLINK("https://www.compass.com/listing/543-west-122nd-street-unit-24d-manhattan-ny-10027/253529751782782129/","543 W 122nd St, Unit 24D")</f>
        <v>543 W 122nd St, Unit 24D</v>
      </c>
      <c r="B210" s="2" t="str">
        <f t="shared" si="28"/>
        <v>Vandewater</v>
      </c>
      <c r="C210" s="1" t="s">
        <v>95</v>
      </c>
      <c r="D210" s="1" t="s">
        <v>41</v>
      </c>
      <c r="E210" s="3">
        <v>2945000</v>
      </c>
      <c r="F210" s="1">
        <v>1788.09957498482</v>
      </c>
      <c r="G210" s="1">
        <v>5</v>
      </c>
      <c r="H210" s="1">
        <v>3</v>
      </c>
      <c r="I210" s="1">
        <v>2</v>
      </c>
      <c r="J210" s="1">
        <v>2</v>
      </c>
      <c r="K210" s="1">
        <v>2</v>
      </c>
      <c r="M210" s="4">
        <v>1647</v>
      </c>
      <c r="N210" s="1">
        <v>1643</v>
      </c>
      <c r="O210" s="1">
        <v>3608</v>
      </c>
      <c r="P210" s="1">
        <v>1965</v>
      </c>
      <c r="Q210" s="1" t="s">
        <v>42</v>
      </c>
      <c r="S210" s="1" t="s">
        <v>42</v>
      </c>
      <c r="T210" s="1" t="s">
        <v>138</v>
      </c>
      <c r="U210" s="1">
        <v>115</v>
      </c>
      <c r="V210" s="5">
        <v>44367</v>
      </c>
      <c r="W210" s="5">
        <v>43486</v>
      </c>
      <c r="X210" s="1">
        <v>2945000</v>
      </c>
      <c r="Z210" s="5">
        <v>43602</v>
      </c>
      <c r="AB210" s="1" t="s">
        <v>44</v>
      </c>
      <c r="AF210" s="1">
        <v>10027</v>
      </c>
      <c r="AI210" s="1" t="s">
        <v>96</v>
      </c>
      <c r="AJ210" s="1">
        <v>2019</v>
      </c>
      <c r="AK210" s="1" t="s">
        <v>46</v>
      </c>
      <c r="AL210" s="1">
        <v>183</v>
      </c>
    </row>
    <row r="211" spans="1:39" x14ac:dyDescent="0.2">
      <c r="A211" s="2" t="str">
        <f>HYPERLINK("https://www.compass.com/listing/543-west-122nd-street-unit-26b-manhattan-ny-10027/489712401198125481/","543 W 122nd St, Unit 26B")</f>
        <v>543 W 122nd St, Unit 26B</v>
      </c>
      <c r="B211" s="2" t="str">
        <f t="shared" si="28"/>
        <v>Vandewater</v>
      </c>
      <c r="C211" s="1" t="s">
        <v>95</v>
      </c>
      <c r="D211" s="1" t="s">
        <v>41</v>
      </c>
      <c r="E211" s="3">
        <v>3250000</v>
      </c>
      <c r="F211" s="1">
        <v>2226.0273972602699</v>
      </c>
      <c r="G211" s="1">
        <v>5</v>
      </c>
      <c r="H211" s="1">
        <v>2</v>
      </c>
      <c r="I211" s="1">
        <v>3</v>
      </c>
      <c r="J211" s="1">
        <v>2.5</v>
      </c>
      <c r="K211" s="1">
        <v>2</v>
      </c>
      <c r="L211" s="1">
        <v>1</v>
      </c>
      <c r="M211" s="4">
        <v>1460</v>
      </c>
      <c r="N211" s="1">
        <v>1568</v>
      </c>
      <c r="O211" s="1">
        <v>3167</v>
      </c>
      <c r="P211" s="1">
        <v>1599</v>
      </c>
      <c r="Q211" s="1" t="s">
        <v>42</v>
      </c>
      <c r="S211" s="1" t="s">
        <v>42</v>
      </c>
      <c r="T211" s="1" t="s">
        <v>138</v>
      </c>
      <c r="U211" s="1">
        <v>16</v>
      </c>
      <c r="V211" s="5">
        <v>44423</v>
      </c>
      <c r="W211" s="5">
        <v>43927</v>
      </c>
      <c r="X211" s="1">
        <v>3250000</v>
      </c>
      <c r="Z211" s="5">
        <v>44301</v>
      </c>
      <c r="AB211" s="1" t="s">
        <v>44</v>
      </c>
      <c r="AF211" s="1">
        <v>10027</v>
      </c>
      <c r="AI211" s="1" t="s">
        <v>151</v>
      </c>
      <c r="AJ211" s="1">
        <v>2019</v>
      </c>
      <c r="AK211" s="1" t="s">
        <v>46</v>
      </c>
      <c r="AL211" s="1">
        <v>183</v>
      </c>
    </row>
    <row r="212" spans="1:39" x14ac:dyDescent="0.2">
      <c r="A212" s="2" t="str">
        <f>HYPERLINK("https://www.compass.com/listing/543-west-122nd-street-unit-19g-manhattan-ny-10027/489712400266799761/","543 W 122nd St, Unit 19G")</f>
        <v>543 W 122nd St, Unit 19G</v>
      </c>
      <c r="B212" s="2" t="str">
        <f t="shared" si="28"/>
        <v>Vandewater</v>
      </c>
      <c r="C212" s="1" t="s">
        <v>95</v>
      </c>
      <c r="D212" s="1" t="s">
        <v>41</v>
      </c>
      <c r="E212" s="3">
        <v>3160000</v>
      </c>
      <c r="F212" s="1">
        <v>1695.2789699570801</v>
      </c>
      <c r="G212" s="1">
        <v>6</v>
      </c>
      <c r="H212" s="1">
        <v>3</v>
      </c>
      <c r="I212" s="1">
        <v>3</v>
      </c>
      <c r="J212" s="1">
        <v>2.5</v>
      </c>
      <c r="K212" s="1">
        <v>2</v>
      </c>
      <c r="L212" s="1">
        <v>1</v>
      </c>
      <c r="M212" s="4">
        <v>1864</v>
      </c>
      <c r="N212" s="1">
        <v>1829</v>
      </c>
      <c r="O212" s="1">
        <v>4023</v>
      </c>
      <c r="P212" s="1">
        <v>2194</v>
      </c>
      <c r="Q212" s="1" t="s">
        <v>42</v>
      </c>
      <c r="S212" s="1" t="s">
        <v>42</v>
      </c>
      <c r="T212" s="1" t="s">
        <v>138</v>
      </c>
      <c r="U212" s="1">
        <v>87</v>
      </c>
      <c r="V212" s="5">
        <v>44372</v>
      </c>
      <c r="W212" s="5">
        <v>44270</v>
      </c>
      <c r="Z212" s="5">
        <v>44358</v>
      </c>
      <c r="AB212" s="1" t="s">
        <v>44</v>
      </c>
      <c r="AF212" s="1">
        <v>10027</v>
      </c>
      <c r="AI212" s="1" t="s">
        <v>96</v>
      </c>
      <c r="AJ212" s="1">
        <v>2019</v>
      </c>
      <c r="AK212" s="1" t="s">
        <v>46</v>
      </c>
      <c r="AL212" s="1">
        <v>183</v>
      </c>
    </row>
    <row r="213" spans="1:39" x14ac:dyDescent="0.2">
      <c r="A213" s="2" t="str">
        <f>HYPERLINK("https://www.compass.com/listing/543-west-122nd-street-unit-29d-manhattan-ny-10027/836070488175818417/","543 W 122nd St, Unit 29D")</f>
        <v>543 W 122nd St, Unit 29D</v>
      </c>
      <c r="B213" s="2" t="str">
        <f t="shared" si="28"/>
        <v>Vandewater</v>
      </c>
      <c r="C213" s="1" t="s">
        <v>95</v>
      </c>
      <c r="D213" s="1" t="s">
        <v>41</v>
      </c>
      <c r="E213" s="3">
        <v>3500000</v>
      </c>
      <c r="F213" s="1">
        <v>2047.98127559976</v>
      </c>
      <c r="G213" s="1">
        <v>5.5</v>
      </c>
      <c r="H213" s="1">
        <v>3</v>
      </c>
      <c r="I213" s="1">
        <v>3</v>
      </c>
      <c r="J213" s="1">
        <v>2.5</v>
      </c>
      <c r="K213" s="1">
        <v>2</v>
      </c>
      <c r="L213" s="1">
        <v>1</v>
      </c>
      <c r="M213" s="4">
        <v>1709</v>
      </c>
      <c r="N213" s="1">
        <v>1700</v>
      </c>
      <c r="O213" s="1">
        <v>3739</v>
      </c>
      <c r="P213" s="1">
        <v>2039</v>
      </c>
      <c r="Q213" s="1" t="s">
        <v>42</v>
      </c>
      <c r="S213" s="1" t="s">
        <v>42</v>
      </c>
      <c r="T213" s="1" t="s">
        <v>138</v>
      </c>
      <c r="U213" s="1">
        <v>825</v>
      </c>
      <c r="V213" s="5">
        <v>44405</v>
      </c>
      <c r="W213" s="5">
        <v>43486</v>
      </c>
      <c r="X213" s="1">
        <v>3500000</v>
      </c>
      <c r="Z213" s="5">
        <v>44405</v>
      </c>
      <c r="AB213" s="1" t="s">
        <v>44</v>
      </c>
      <c r="AF213" s="1">
        <v>10027</v>
      </c>
      <c r="AI213" s="1" t="s">
        <v>96</v>
      </c>
      <c r="AJ213" s="1">
        <v>2019</v>
      </c>
      <c r="AK213" s="1" t="s">
        <v>46</v>
      </c>
      <c r="AL213" s="1">
        <v>183</v>
      </c>
    </row>
    <row r="214" spans="1:39" x14ac:dyDescent="0.2">
      <c r="A214" s="2" t="str">
        <f>HYPERLINK("https://www.compass.com/listing/575-main-street-unit-401-manhattan-ny-10044/794944499129845353/","575 Main St, Unit 401")</f>
        <v>575 Main St, Unit 401</v>
      </c>
      <c r="B214" s="2" t="str">
        <f>HYPERLINK("https://www.compass.com/building/island-house-manhattan-ny/282065365649887429/","Island House")</f>
        <v>Island House</v>
      </c>
      <c r="C214" s="1" t="s">
        <v>116</v>
      </c>
      <c r="D214" s="1" t="s">
        <v>41</v>
      </c>
      <c r="E214" s="3">
        <v>437293</v>
      </c>
      <c r="F214" s="1">
        <v>544.574097135741</v>
      </c>
      <c r="G214" s="1">
        <v>3</v>
      </c>
      <c r="H214" s="1">
        <v>1</v>
      </c>
      <c r="I214" s="1">
        <v>1</v>
      </c>
      <c r="J214" s="1">
        <v>1</v>
      </c>
      <c r="K214" s="1">
        <v>1</v>
      </c>
      <c r="M214" s="1">
        <v>803</v>
      </c>
      <c r="N214" s="1">
        <v>691</v>
      </c>
      <c r="O214" s="1">
        <v>691</v>
      </c>
      <c r="Q214" s="1" t="s">
        <v>117</v>
      </c>
      <c r="S214" s="1" t="s">
        <v>117</v>
      </c>
      <c r="T214" s="1" t="s">
        <v>138</v>
      </c>
      <c r="U214" s="1">
        <v>34</v>
      </c>
      <c r="V214" s="5">
        <v>44427</v>
      </c>
      <c r="W214" s="5">
        <v>44348</v>
      </c>
      <c r="X214" s="1">
        <v>437293</v>
      </c>
      <c r="Z214" s="5">
        <v>44382</v>
      </c>
      <c r="AB214" s="1" t="s">
        <v>44</v>
      </c>
      <c r="AF214" s="1">
        <v>10044</v>
      </c>
      <c r="AI214" s="1" t="s">
        <v>119</v>
      </c>
      <c r="AJ214" s="1">
        <v>1975</v>
      </c>
      <c r="AK214" s="1" t="s">
        <v>86</v>
      </c>
      <c r="AL214" s="1">
        <v>400</v>
      </c>
    </row>
    <row r="215" spans="1:39" x14ac:dyDescent="0.2">
      <c r="A215" s="2" t="str">
        <f>HYPERLINK("https://www.compass.com/listing/199-chrystie-street-unit-5s-manhattan-ny-10002/784186602102653929/","199 Chrystie St, Unit 5S")</f>
        <v>199 Chrystie St, Unit 5S</v>
      </c>
      <c r="B215" s="2" t="str">
        <f t="shared" ref="B215:B217" si="29">HYPERLINK("https://www.compass.com/building/199-chrystie-manhattan-ny/293529410684877573/","199 Chrystie")</f>
        <v>199 Chrystie</v>
      </c>
      <c r="C215" s="1" t="s">
        <v>133</v>
      </c>
      <c r="D215" s="1" t="s">
        <v>41</v>
      </c>
      <c r="E215" s="3">
        <v>6095000</v>
      </c>
      <c r="F215" s="1">
        <v>2497.9508196721299</v>
      </c>
      <c r="G215" s="1">
        <v>6</v>
      </c>
      <c r="H215" s="1">
        <v>3</v>
      </c>
      <c r="I215" s="1">
        <v>4</v>
      </c>
      <c r="J215" s="1">
        <v>3.5</v>
      </c>
      <c r="K215" s="1">
        <v>3</v>
      </c>
      <c r="L215" s="1">
        <v>1</v>
      </c>
      <c r="M215" s="4">
        <v>2440</v>
      </c>
      <c r="N215" s="1">
        <v>3550</v>
      </c>
      <c r="O215" s="1">
        <v>5323</v>
      </c>
      <c r="P215" s="1">
        <v>1773</v>
      </c>
      <c r="Q215" s="1" t="s">
        <v>42</v>
      </c>
      <c r="S215" s="1" t="s">
        <v>42</v>
      </c>
      <c r="T215" s="1" t="s">
        <v>138</v>
      </c>
      <c r="U215" s="1">
        <v>87</v>
      </c>
      <c r="V215" s="5">
        <v>44424</v>
      </c>
      <c r="W215" s="5">
        <v>44333</v>
      </c>
      <c r="X215" s="1">
        <v>6095000</v>
      </c>
      <c r="Z215" s="5">
        <v>44421</v>
      </c>
      <c r="AB215" s="1" t="s">
        <v>44</v>
      </c>
      <c r="AF215" s="1">
        <v>10002</v>
      </c>
      <c r="AI215" s="1" t="s">
        <v>135</v>
      </c>
      <c r="AJ215" s="1">
        <v>2021</v>
      </c>
      <c r="AK215" s="1" t="s">
        <v>86</v>
      </c>
      <c r="AL215" s="1">
        <v>14</v>
      </c>
    </row>
    <row r="216" spans="1:39" x14ac:dyDescent="0.2">
      <c r="A216" s="2" t="str">
        <f>HYPERLINK("https://www.compass.com/listing/199-chrystie-street-unit-10n-manhattan-ny-10002/775669032315186585/","199 Chrystie St, Unit 10N")</f>
        <v>199 Chrystie St, Unit 10N</v>
      </c>
      <c r="B216" s="2" t="str">
        <f t="shared" si="29"/>
        <v>199 Chrystie</v>
      </c>
      <c r="C216" s="1" t="s">
        <v>133</v>
      </c>
      <c r="D216" s="1" t="s">
        <v>41</v>
      </c>
      <c r="E216" s="3">
        <v>3950000</v>
      </c>
      <c r="F216" s="1">
        <v>2668.9189189189101</v>
      </c>
      <c r="G216" s="1">
        <v>4</v>
      </c>
      <c r="H216" s="1">
        <v>2</v>
      </c>
      <c r="I216" s="1">
        <v>3</v>
      </c>
      <c r="J216" s="1">
        <v>2.5</v>
      </c>
      <c r="K216" s="1">
        <v>2</v>
      </c>
      <c r="L216" s="1">
        <v>1</v>
      </c>
      <c r="M216" s="4">
        <v>1480</v>
      </c>
      <c r="N216" s="1">
        <v>2276</v>
      </c>
      <c r="O216" s="1">
        <v>3413</v>
      </c>
      <c r="P216" s="1">
        <v>1137</v>
      </c>
      <c r="Q216" s="1" t="s">
        <v>42</v>
      </c>
      <c r="S216" s="1" t="s">
        <v>42</v>
      </c>
      <c r="T216" s="1" t="s">
        <v>138</v>
      </c>
      <c r="V216" s="5">
        <v>44424</v>
      </c>
      <c r="W216" s="5">
        <v>44321</v>
      </c>
      <c r="Z216" s="5">
        <v>44321</v>
      </c>
      <c r="AB216" s="1" t="s">
        <v>44</v>
      </c>
      <c r="AF216" s="1">
        <v>10002</v>
      </c>
      <c r="AI216" s="1" t="s">
        <v>135</v>
      </c>
      <c r="AJ216" s="1">
        <v>2021</v>
      </c>
      <c r="AK216" s="1" t="s">
        <v>86</v>
      </c>
      <c r="AL216" s="1">
        <v>14</v>
      </c>
    </row>
    <row r="217" spans="1:39" x14ac:dyDescent="0.2">
      <c r="A217" s="2" t="str">
        <f>HYPERLINK("https://www.compass.com/listing/199-chrystie-street-unit-2s-manhattan-ny-10002/760833796171921897/","199 Chrystie St, Unit 2S")</f>
        <v>199 Chrystie St, Unit 2S</v>
      </c>
      <c r="B217" s="2" t="str">
        <f t="shared" si="29"/>
        <v>199 Chrystie</v>
      </c>
      <c r="C217" s="1" t="s">
        <v>133</v>
      </c>
      <c r="D217" s="1" t="s">
        <v>41</v>
      </c>
      <c r="E217" s="3">
        <v>2250000</v>
      </c>
      <c r="F217" s="1">
        <v>2247.7522477522398</v>
      </c>
      <c r="G217" s="1">
        <v>4</v>
      </c>
      <c r="H217" s="1">
        <v>1</v>
      </c>
      <c r="I217" s="1">
        <v>2</v>
      </c>
      <c r="J217" s="1">
        <v>1.5</v>
      </c>
      <c r="K217" s="1">
        <v>1</v>
      </c>
      <c r="L217" s="1">
        <v>1</v>
      </c>
      <c r="M217" s="4">
        <v>1001</v>
      </c>
      <c r="N217" s="1">
        <v>654</v>
      </c>
      <c r="O217" s="1">
        <v>1964</v>
      </c>
      <c r="P217" s="1">
        <v>1310</v>
      </c>
      <c r="Q217" s="1" t="s">
        <v>42</v>
      </c>
      <c r="S217" s="1" t="s">
        <v>42</v>
      </c>
      <c r="T217" s="1" t="s">
        <v>138</v>
      </c>
      <c r="U217" s="1">
        <v>29</v>
      </c>
      <c r="V217" s="5">
        <v>44424</v>
      </c>
      <c r="W217" s="5">
        <v>44305</v>
      </c>
      <c r="X217" s="1">
        <v>2250000</v>
      </c>
      <c r="Z217" s="5">
        <v>44350</v>
      </c>
      <c r="AB217" s="1" t="s">
        <v>44</v>
      </c>
      <c r="AF217" s="1">
        <v>10002</v>
      </c>
      <c r="AI217" s="1" t="s">
        <v>134</v>
      </c>
      <c r="AJ217" s="1">
        <v>2021</v>
      </c>
      <c r="AK217" s="1" t="s">
        <v>86</v>
      </c>
      <c r="AL217" s="1">
        <v>14</v>
      </c>
    </row>
    <row r="220" spans="1:39" x14ac:dyDescent="0.2">
      <c r="A220" s="1" t="s">
        <v>152</v>
      </c>
    </row>
    <row r="221" spans="1:39" x14ac:dyDescent="0.2">
      <c r="A221" s="1" t="s">
        <v>1</v>
      </c>
      <c r="B221" s="1" t="s">
        <v>2</v>
      </c>
      <c r="C221" s="1" t="s">
        <v>3</v>
      </c>
      <c r="D221" s="1" t="s">
        <v>4</v>
      </c>
      <c r="E221" s="1" t="s">
        <v>5</v>
      </c>
      <c r="F221" s="1" t="s">
        <v>6</v>
      </c>
      <c r="G221" s="1" t="s">
        <v>7</v>
      </c>
      <c r="H221" s="1" t="s">
        <v>8</v>
      </c>
      <c r="I221" s="1" t="s">
        <v>9</v>
      </c>
      <c r="J221" s="1" t="s">
        <v>10</v>
      </c>
      <c r="K221" s="1" t="s">
        <v>11</v>
      </c>
      <c r="L221" s="1" t="s">
        <v>12</v>
      </c>
      <c r="M221" s="1" t="s">
        <v>13</v>
      </c>
      <c r="N221" s="1" t="s">
        <v>14</v>
      </c>
      <c r="O221" s="1" t="s">
        <v>15</v>
      </c>
      <c r="P221" s="1" t="s">
        <v>16</v>
      </c>
      <c r="Q221" s="1" t="s">
        <v>17</v>
      </c>
      <c r="R221" s="1" t="s">
        <v>18</v>
      </c>
      <c r="S221" s="1" t="s">
        <v>19</v>
      </c>
      <c r="T221" s="1" t="s">
        <v>20</v>
      </c>
      <c r="U221" s="1" t="s">
        <v>21</v>
      </c>
      <c r="V221" s="1" t="s">
        <v>22</v>
      </c>
      <c r="W221" s="1" t="s">
        <v>23</v>
      </c>
      <c r="X221" s="1" t="s">
        <v>24</v>
      </c>
      <c r="Y221" s="1" t="s">
        <v>25</v>
      </c>
      <c r="Z221" s="1" t="s">
        <v>26</v>
      </c>
      <c r="AA221" s="1" t="s">
        <v>27</v>
      </c>
      <c r="AB221" s="1" t="s">
        <v>28</v>
      </c>
      <c r="AC221" s="1" t="s">
        <v>29</v>
      </c>
      <c r="AD221" s="1" t="s">
        <v>30</v>
      </c>
      <c r="AE221" s="1" t="s">
        <v>31</v>
      </c>
      <c r="AF221" s="1" t="s">
        <v>32</v>
      </c>
      <c r="AG221" s="1" t="s">
        <v>33</v>
      </c>
      <c r="AH221" s="1" t="s">
        <v>34</v>
      </c>
      <c r="AI221" s="1" t="s">
        <v>35</v>
      </c>
      <c r="AJ221" s="1" t="s">
        <v>36</v>
      </c>
      <c r="AK221" s="1" t="s">
        <v>37</v>
      </c>
      <c r="AL221" s="1" t="s">
        <v>38</v>
      </c>
      <c r="AM221" s="1" t="s">
        <v>39</v>
      </c>
    </row>
    <row r="222" spans="1:39" x14ac:dyDescent="0.2">
      <c r="A222" s="2" t="str">
        <f>HYPERLINK("https://www.compass.com/listing/160-west-12th-street-unit-82-manhattan-ny-10011/29367262813219969/","160 W 12th St, Unit 82")</f>
        <v>160 W 12th St, Unit 82</v>
      </c>
      <c r="B222" s="2" t="str">
        <f>HYPERLINK("https://www.compass.com/building/the-greenwich-lane-manhattan-ny/282059161326355877/","The Greenwich Lane")</f>
        <v>The Greenwich Lane</v>
      </c>
      <c r="C222" s="1" t="s">
        <v>40</v>
      </c>
      <c r="D222" s="1" t="s">
        <v>41</v>
      </c>
      <c r="E222" s="3">
        <v>5900000</v>
      </c>
      <c r="F222" s="1">
        <v>2886.49706457925</v>
      </c>
      <c r="G222" s="1">
        <v>4</v>
      </c>
      <c r="H222" s="1">
        <v>2</v>
      </c>
      <c r="J222" s="1">
        <v>2.5</v>
      </c>
      <c r="M222" s="4">
        <v>2044</v>
      </c>
      <c r="N222" s="1">
        <v>3676</v>
      </c>
      <c r="O222" s="1">
        <v>7739</v>
      </c>
      <c r="P222" s="1">
        <v>4063</v>
      </c>
      <c r="Q222" s="1" t="s">
        <v>42</v>
      </c>
      <c r="S222" s="1" t="s">
        <v>42</v>
      </c>
      <c r="T222" s="1" t="s">
        <v>153</v>
      </c>
      <c r="U222" s="1">
        <v>234</v>
      </c>
      <c r="V222" s="5">
        <v>43278</v>
      </c>
      <c r="W222" s="5">
        <v>42963</v>
      </c>
      <c r="X222" s="1">
        <v>6250000</v>
      </c>
      <c r="Y222" s="1">
        <v>6150000</v>
      </c>
      <c r="Z222" s="5">
        <v>43197</v>
      </c>
      <c r="AA222" s="1">
        <v>5900000</v>
      </c>
      <c r="AB222" s="1" t="s">
        <v>154</v>
      </c>
      <c r="AC222" s="5">
        <v>43273</v>
      </c>
      <c r="AF222" s="1">
        <v>10011</v>
      </c>
      <c r="AI222" s="1" t="s">
        <v>155</v>
      </c>
      <c r="AJ222" s="1">
        <v>2016</v>
      </c>
      <c r="AK222" s="1" t="s">
        <v>49</v>
      </c>
      <c r="AL222" s="1">
        <v>57</v>
      </c>
    </row>
    <row r="223" spans="1:39" x14ac:dyDescent="0.2">
      <c r="A223" s="2" t="str">
        <f>HYPERLINK("https://www.compass.com/listing/192-8th-avenue-unit-3-manhattan-ny-10011/562190656867887065/","192 8th Ave, Unit 3")</f>
        <v>192 8th Ave, Unit 3</v>
      </c>
      <c r="B223" s="2" t="str">
        <f>HYPERLINK("https://www.compass.com/building/novum-chelsea-manhattan-ny/281906392133029493/","Novum Chelsea")</f>
        <v>Novum Chelsea</v>
      </c>
      <c r="C223" s="1" t="s">
        <v>73</v>
      </c>
      <c r="D223" s="1" t="s">
        <v>41</v>
      </c>
      <c r="E223" s="3">
        <v>2125000</v>
      </c>
      <c r="F223" s="1">
        <v>1640.9266409266399</v>
      </c>
      <c r="G223" s="1">
        <v>4</v>
      </c>
      <c r="H223" s="1">
        <v>2</v>
      </c>
      <c r="I223" s="1">
        <v>2</v>
      </c>
      <c r="J223" s="1">
        <v>2</v>
      </c>
      <c r="K223" s="1">
        <v>2</v>
      </c>
      <c r="M223" s="4">
        <v>1295</v>
      </c>
      <c r="N223" s="1">
        <v>645</v>
      </c>
      <c r="O223" s="1">
        <v>2060</v>
      </c>
      <c r="P223" s="1">
        <v>1415</v>
      </c>
      <c r="Q223" s="1" t="s">
        <v>42</v>
      </c>
      <c r="S223" s="1" t="s">
        <v>42</v>
      </c>
      <c r="T223" s="1" t="s">
        <v>153</v>
      </c>
      <c r="U223" s="1">
        <v>26</v>
      </c>
      <c r="V223" s="5">
        <v>44357</v>
      </c>
      <c r="W223" s="5">
        <v>44028</v>
      </c>
      <c r="X223" s="1">
        <v>2250000</v>
      </c>
      <c r="Y223" s="1">
        <v>2250000</v>
      </c>
      <c r="Z223" s="5">
        <v>44058</v>
      </c>
      <c r="AA223" s="1">
        <v>2125000</v>
      </c>
      <c r="AB223" s="1" t="s">
        <v>156</v>
      </c>
      <c r="AC223" s="5">
        <v>44351</v>
      </c>
      <c r="AF223" s="1">
        <v>10011</v>
      </c>
      <c r="AI223" s="1" t="s">
        <v>139</v>
      </c>
      <c r="AJ223" s="1">
        <v>2019</v>
      </c>
      <c r="AL223" s="1">
        <v>5</v>
      </c>
    </row>
    <row r="224" spans="1:39" x14ac:dyDescent="0.2">
      <c r="A224" s="2" t="str">
        <f>HYPERLINK("https://www.compass.com/listing/160-west-12th-street-unit-96-manhattan-ny-10011/440390115023128881/","160 W 12th St, Unit 96")</f>
        <v>160 W 12th St, Unit 96</v>
      </c>
      <c r="B224" s="2" t="str">
        <f>HYPERLINK("https://www.compass.com/building/the-greenwich-lane-manhattan-ny/282059161326355877/","The Greenwich Lane")</f>
        <v>The Greenwich Lane</v>
      </c>
      <c r="C224" s="1" t="s">
        <v>40</v>
      </c>
      <c r="D224" s="1" t="s">
        <v>41</v>
      </c>
      <c r="E224" s="3">
        <v>9150000</v>
      </c>
      <c r="F224" s="1">
        <v>3213.9093782929399</v>
      </c>
      <c r="G224" s="1">
        <v>6</v>
      </c>
      <c r="H224" s="1">
        <v>3</v>
      </c>
      <c r="I224" s="1">
        <v>4</v>
      </c>
      <c r="J224" s="1">
        <v>3.5</v>
      </c>
      <c r="K224" s="1">
        <v>3</v>
      </c>
      <c r="L224" s="1">
        <v>1</v>
      </c>
      <c r="M224" s="4">
        <v>2847</v>
      </c>
      <c r="N224" s="1">
        <v>5132.1000000000004</v>
      </c>
      <c r="O224" s="1">
        <v>11484.16</v>
      </c>
      <c r="P224" s="1">
        <v>6352.0833333333303</v>
      </c>
      <c r="Q224" s="1" t="s">
        <v>42</v>
      </c>
      <c r="S224" s="1" t="s">
        <v>42</v>
      </c>
      <c r="T224" s="1" t="s">
        <v>153</v>
      </c>
      <c r="U224" s="1">
        <v>4</v>
      </c>
      <c r="V224" s="5">
        <v>43910</v>
      </c>
      <c r="W224" s="5">
        <v>43869</v>
      </c>
      <c r="X224" s="1">
        <v>9150000</v>
      </c>
      <c r="Y224" s="1">
        <v>9150000</v>
      </c>
      <c r="Z224" s="5">
        <v>43873</v>
      </c>
      <c r="AA224" s="1">
        <v>9150000</v>
      </c>
      <c r="AB224" s="1" t="s">
        <v>157</v>
      </c>
      <c r="AC224" s="5">
        <v>43960</v>
      </c>
      <c r="AF224" s="1">
        <v>10011</v>
      </c>
      <c r="AI224" s="1" t="s">
        <v>158</v>
      </c>
      <c r="AJ224" s="1">
        <v>2016</v>
      </c>
      <c r="AK224" s="1" t="s">
        <v>49</v>
      </c>
      <c r="AL224" s="1">
        <v>57</v>
      </c>
    </row>
    <row r="225" spans="1:38" x14ac:dyDescent="0.2">
      <c r="A225" s="2" t="str">
        <f>HYPERLINK("https://www.compass.com/listing/215-sullivan-street-unit-tha-manhattan-ny-10012/208393829823302561/","215 Sullivan St, Unit THA")</f>
        <v>215 Sullivan St, Unit THA</v>
      </c>
      <c r="B225" s="2" t="str">
        <f>HYPERLINK("https://www.compass.com/building/215-sullivan-st-manhattan-ny-10012/292810405493901557/","215 Sullivan St")</f>
        <v>215 Sullivan St</v>
      </c>
      <c r="C225" s="1" t="s">
        <v>159</v>
      </c>
      <c r="D225" s="1" t="s">
        <v>41</v>
      </c>
      <c r="E225" s="3">
        <v>14650000</v>
      </c>
      <c r="F225" s="1">
        <v>1970.1452393760001</v>
      </c>
      <c r="G225" s="1">
        <v>10</v>
      </c>
      <c r="H225" s="1">
        <v>6</v>
      </c>
      <c r="I225" s="1">
        <v>7</v>
      </c>
      <c r="J225" s="1">
        <v>7</v>
      </c>
      <c r="K225" s="1">
        <v>5</v>
      </c>
      <c r="L225" s="1">
        <v>2</v>
      </c>
      <c r="M225" s="4">
        <v>7436</v>
      </c>
      <c r="N225" s="1">
        <v>10118</v>
      </c>
      <c r="O225" s="1">
        <v>20724</v>
      </c>
      <c r="P225" s="1">
        <v>10606</v>
      </c>
      <c r="Q225" s="1" t="s">
        <v>42</v>
      </c>
      <c r="S225" s="1" t="s">
        <v>42</v>
      </c>
      <c r="T225" s="1" t="s">
        <v>153</v>
      </c>
      <c r="U225" s="1">
        <v>53</v>
      </c>
      <c r="V225" s="5">
        <v>43624</v>
      </c>
      <c r="W225" s="5">
        <v>43539</v>
      </c>
      <c r="X225" s="1">
        <v>15995000</v>
      </c>
      <c r="Y225" s="1">
        <v>15995000</v>
      </c>
      <c r="Z225" s="5">
        <v>43593</v>
      </c>
      <c r="AA225" s="1">
        <v>14650000</v>
      </c>
      <c r="AB225" s="1" t="s">
        <v>160</v>
      </c>
      <c r="AC225" s="5">
        <v>43620</v>
      </c>
      <c r="AF225" s="1">
        <v>10012</v>
      </c>
      <c r="AI225" s="1" t="s">
        <v>161</v>
      </c>
      <c r="AJ225" s="1">
        <v>2014</v>
      </c>
      <c r="AK225" s="1" t="s">
        <v>86</v>
      </c>
      <c r="AL225" s="1">
        <v>25</v>
      </c>
    </row>
    <row r="226" spans="1:38" x14ac:dyDescent="0.2">
      <c r="A226" s="2" t="str">
        <f>HYPERLINK("https://www.compass.com/listing/192-8th-avenue-unit-2-manhattan-ny-10011/513128500812324345/","192 8th Ave, Unit 2")</f>
        <v>192 8th Ave, Unit 2</v>
      </c>
      <c r="B226" s="2" t="str">
        <f t="shared" ref="B226:B227" si="30">HYPERLINK("https://www.compass.com/building/novum-chelsea-manhattan-ny/281906392133029493/","Novum Chelsea")</f>
        <v>Novum Chelsea</v>
      </c>
      <c r="C226" s="1" t="s">
        <v>73</v>
      </c>
      <c r="D226" s="1" t="s">
        <v>41</v>
      </c>
      <c r="E226" s="3">
        <v>2350000</v>
      </c>
      <c r="G226" s="1">
        <v>4</v>
      </c>
      <c r="H226" s="1">
        <v>2</v>
      </c>
      <c r="I226" s="1">
        <v>2</v>
      </c>
      <c r="J226" s="1">
        <v>2</v>
      </c>
      <c r="K226" s="1">
        <v>2</v>
      </c>
      <c r="N226" s="1">
        <v>709</v>
      </c>
      <c r="O226" s="1">
        <v>2266</v>
      </c>
      <c r="P226" s="1">
        <v>1557</v>
      </c>
      <c r="Q226" s="1" t="s">
        <v>42</v>
      </c>
      <c r="S226" s="1" t="s">
        <v>42</v>
      </c>
      <c r="T226" s="1" t="s">
        <v>153</v>
      </c>
      <c r="U226" s="1">
        <v>294</v>
      </c>
      <c r="V226" s="5">
        <v>44385</v>
      </c>
      <c r="W226" s="5">
        <v>43972</v>
      </c>
      <c r="X226" s="1">
        <v>2800000</v>
      </c>
      <c r="Y226" s="1">
        <v>2499000</v>
      </c>
      <c r="Z226" s="5">
        <v>44299</v>
      </c>
      <c r="AA226" s="1">
        <v>2350000</v>
      </c>
      <c r="AB226" s="1" t="s">
        <v>162</v>
      </c>
      <c r="AC226" s="5">
        <v>44379</v>
      </c>
      <c r="AF226" s="1">
        <v>10011</v>
      </c>
      <c r="AI226" s="1" t="s">
        <v>163</v>
      </c>
      <c r="AJ226" s="1">
        <v>2019</v>
      </c>
      <c r="AL226" s="1">
        <v>5</v>
      </c>
    </row>
    <row r="227" spans="1:38" x14ac:dyDescent="0.2">
      <c r="A227" s="2" t="str">
        <f>HYPERLINK("https://www.compass.com/listing/192-8th-avenue-unit-ph-manhattan-ny-10011/694130402978819657/","192 8th Ave, Unit PH")</f>
        <v>192 8th Ave, Unit PH</v>
      </c>
      <c r="B227" s="2" t="str">
        <f t="shared" si="30"/>
        <v>Novum Chelsea</v>
      </c>
      <c r="C227" s="1" t="s">
        <v>73</v>
      </c>
      <c r="D227" s="1" t="s">
        <v>41</v>
      </c>
      <c r="E227" s="3">
        <v>3700000</v>
      </c>
      <c r="F227" s="1">
        <v>2331.4429741650902</v>
      </c>
      <c r="G227" s="1">
        <v>5.5</v>
      </c>
      <c r="H227" s="1">
        <v>3</v>
      </c>
      <c r="I227" s="1">
        <v>3</v>
      </c>
      <c r="J227" s="1">
        <v>2.5</v>
      </c>
      <c r="K227" s="1">
        <v>2</v>
      </c>
      <c r="L227" s="1">
        <v>1</v>
      </c>
      <c r="M227" s="4">
        <v>1587</v>
      </c>
      <c r="N227" s="1">
        <v>988</v>
      </c>
      <c r="O227" s="1">
        <v>3156</v>
      </c>
      <c r="P227" s="1">
        <v>2168</v>
      </c>
      <c r="Q227" s="1" t="s">
        <v>42</v>
      </c>
      <c r="S227" s="1" t="s">
        <v>42</v>
      </c>
      <c r="T227" s="1" t="s">
        <v>153</v>
      </c>
      <c r="U227" s="1">
        <v>115</v>
      </c>
      <c r="V227" s="5">
        <v>44343</v>
      </c>
      <c r="W227" s="5">
        <v>44210</v>
      </c>
      <c r="X227" s="1">
        <v>4250000</v>
      </c>
      <c r="Y227" s="1">
        <v>4250000</v>
      </c>
      <c r="Z227" s="5">
        <v>44325</v>
      </c>
      <c r="AA227" s="1">
        <v>3700000</v>
      </c>
      <c r="AB227" s="1" t="s">
        <v>164</v>
      </c>
      <c r="AC227" s="5">
        <v>44335</v>
      </c>
      <c r="AF227" s="1">
        <v>10011</v>
      </c>
      <c r="AI227" s="1" t="s">
        <v>165</v>
      </c>
      <c r="AJ227" s="1">
        <v>2019</v>
      </c>
      <c r="AK227" s="1" t="s">
        <v>140</v>
      </c>
      <c r="AL227" s="1">
        <v>5</v>
      </c>
    </row>
    <row r="228" spans="1:38" x14ac:dyDescent="0.2">
      <c r="A228" s="2" t="str">
        <f>HYPERLINK("https://www.compass.com/listing/160-west-12th-street-unit-94-manhattan-ny-10011/246366852454879745/","160 W 12th St, Unit 94")</f>
        <v>160 W 12th St, Unit 94</v>
      </c>
      <c r="B228" s="2" t="str">
        <f>HYPERLINK("https://www.compass.com/building/the-greenwich-lane-manhattan-ny/282059161326355877/","The Greenwich Lane")</f>
        <v>The Greenwich Lane</v>
      </c>
      <c r="C228" s="1" t="s">
        <v>40</v>
      </c>
      <c r="D228" s="1" t="s">
        <v>41</v>
      </c>
      <c r="E228" s="3">
        <v>11500000</v>
      </c>
      <c r="F228" s="1">
        <v>3464.89906598373</v>
      </c>
      <c r="G228" s="1">
        <v>11</v>
      </c>
      <c r="H228" s="1">
        <v>4</v>
      </c>
      <c r="I228" s="1">
        <v>5</v>
      </c>
      <c r="J228" s="1">
        <v>4.5</v>
      </c>
      <c r="K228" s="1">
        <v>4</v>
      </c>
      <c r="L228" s="1">
        <v>1</v>
      </c>
      <c r="M228" s="4">
        <v>3319</v>
      </c>
      <c r="N228" s="1">
        <v>6035</v>
      </c>
      <c r="O228" s="1">
        <v>12174</v>
      </c>
      <c r="P228" s="1">
        <v>6139</v>
      </c>
      <c r="Q228" s="1" t="s">
        <v>42</v>
      </c>
      <c r="S228" s="1" t="s">
        <v>42</v>
      </c>
      <c r="T228" s="1" t="s">
        <v>153</v>
      </c>
      <c r="U228" s="1">
        <v>292</v>
      </c>
      <c r="V228" s="5">
        <v>43946</v>
      </c>
      <c r="W228" s="5">
        <v>43605</v>
      </c>
      <c r="X228" s="1">
        <v>12950000</v>
      </c>
      <c r="Y228" s="1">
        <v>12950000</v>
      </c>
      <c r="Z228" s="5">
        <v>43897</v>
      </c>
      <c r="AA228" s="1">
        <v>11500000</v>
      </c>
      <c r="AB228" s="1" t="s">
        <v>166</v>
      </c>
      <c r="AC228" s="5">
        <v>43945</v>
      </c>
      <c r="AF228" s="1">
        <v>10011</v>
      </c>
      <c r="AI228" s="1" t="s">
        <v>158</v>
      </c>
      <c r="AJ228" s="1">
        <v>2016</v>
      </c>
      <c r="AK228" s="1" t="s">
        <v>46</v>
      </c>
      <c r="AL228" s="1">
        <v>57</v>
      </c>
    </row>
    <row r="229" spans="1:38" x14ac:dyDescent="0.2">
      <c r="A229" s="2" t="str">
        <f>HYPERLINK("https://www.compass.com/listing/160-east-22nd-street-unit-20b-manhattan-ny-10010/29512114561384449/","160 E 22nd St, Unit 20B")</f>
        <v>160 E 22nd St, Unit 20B</v>
      </c>
      <c r="B229" s="2" t="str">
        <f>HYPERLINK("https://www.compass.com/building/160-e-22nd-st-manhattan-ny-10010/292796862321154661/","160 E 22nd St")</f>
        <v>160 E 22nd St</v>
      </c>
      <c r="C229" s="1" t="s">
        <v>54</v>
      </c>
      <c r="D229" s="1" t="s">
        <v>41</v>
      </c>
      <c r="E229" s="3">
        <v>2430000</v>
      </c>
      <c r="F229" s="1">
        <v>2187.2187218721801</v>
      </c>
      <c r="G229" s="1">
        <v>6</v>
      </c>
      <c r="H229" s="1">
        <v>2</v>
      </c>
      <c r="I229" s="1">
        <v>2</v>
      </c>
      <c r="J229" s="1">
        <v>2</v>
      </c>
      <c r="M229" s="4">
        <v>1111</v>
      </c>
      <c r="N229" s="1">
        <v>1173.53</v>
      </c>
      <c r="O229" s="1">
        <v>2422.5500000000002</v>
      </c>
      <c r="P229" s="1">
        <v>1249</v>
      </c>
      <c r="Q229" s="1" t="s">
        <v>42</v>
      </c>
      <c r="S229" s="1" t="s">
        <v>42</v>
      </c>
      <c r="T229" s="1" t="s">
        <v>153</v>
      </c>
      <c r="V229" s="5">
        <v>43439</v>
      </c>
      <c r="Y229" s="1">
        <v>2595000</v>
      </c>
      <c r="Z229" s="5">
        <v>43375</v>
      </c>
      <c r="AA229" s="1">
        <v>2430000</v>
      </c>
      <c r="AB229" s="1" t="s">
        <v>167</v>
      </c>
      <c r="AC229" s="5">
        <v>43438</v>
      </c>
      <c r="AF229" s="1">
        <v>10010</v>
      </c>
      <c r="AI229" s="1" t="s">
        <v>87</v>
      </c>
      <c r="AJ229" s="1">
        <v>2012</v>
      </c>
      <c r="AK229" s="1" t="s">
        <v>49</v>
      </c>
      <c r="AL229" s="1">
        <v>81</v>
      </c>
    </row>
    <row r="230" spans="1:38" x14ac:dyDescent="0.2">
      <c r="A230" s="2" t="str">
        <f>HYPERLINK("https://www.compass.com/listing/10-madison-square-west-unit-8f-manhattan-ny-10010/253611727415937441/","10 Madison Sq W, Unit 8F")</f>
        <v>10 Madison Sq W, Unit 8F</v>
      </c>
      <c r="B230" s="2" t="str">
        <f t="shared" ref="B230:B233" si="31">HYPERLINK("https://www.compass.com/building/10-madison-square-west-manhattan-ny/294838725091521285/","10 Madison Square West")</f>
        <v>10 Madison Square West</v>
      </c>
      <c r="C230" s="1" t="s">
        <v>56</v>
      </c>
      <c r="D230" s="1" t="s">
        <v>41</v>
      </c>
      <c r="E230" s="3">
        <v>7650000</v>
      </c>
      <c r="F230" s="1">
        <v>3199.4981179422798</v>
      </c>
      <c r="G230" s="1">
        <v>5</v>
      </c>
      <c r="H230" s="1">
        <v>3</v>
      </c>
      <c r="I230" s="1">
        <v>4</v>
      </c>
      <c r="J230" s="1">
        <v>3.5</v>
      </c>
      <c r="K230" s="1">
        <v>3</v>
      </c>
      <c r="L230" s="1">
        <v>1</v>
      </c>
      <c r="M230" s="4">
        <v>2391</v>
      </c>
      <c r="N230" s="1">
        <v>3003.43</v>
      </c>
      <c r="O230" s="1">
        <v>7983.3699999999899</v>
      </c>
      <c r="P230" s="1">
        <v>4979.9166666666597</v>
      </c>
      <c r="Q230" s="1" t="s">
        <v>42</v>
      </c>
      <c r="S230" s="1" t="s">
        <v>42</v>
      </c>
      <c r="T230" s="1" t="s">
        <v>153</v>
      </c>
      <c r="U230" s="1">
        <v>49</v>
      </c>
      <c r="V230" s="5">
        <v>43725</v>
      </c>
      <c r="W230" s="5">
        <v>43602</v>
      </c>
      <c r="X230" s="1">
        <v>7650000</v>
      </c>
      <c r="Y230" s="1">
        <v>7650000</v>
      </c>
      <c r="Z230" s="5">
        <v>43652</v>
      </c>
      <c r="AA230" s="1">
        <v>7650000</v>
      </c>
      <c r="AB230" s="1" t="s">
        <v>168</v>
      </c>
      <c r="AC230" s="5">
        <v>43724</v>
      </c>
      <c r="AF230" s="1">
        <v>10010</v>
      </c>
      <c r="AI230" s="1" t="s">
        <v>45</v>
      </c>
      <c r="AJ230" s="1">
        <v>1915</v>
      </c>
      <c r="AK230" s="1" t="s">
        <v>49</v>
      </c>
      <c r="AL230" s="1">
        <v>125</v>
      </c>
    </row>
    <row r="231" spans="1:38" x14ac:dyDescent="0.2">
      <c r="A231" s="2" t="str">
        <f>HYPERLINK("https://www.compass.com/listing/10-madison-square-west-unit-5e-manhattan-ny-10010/29374721468525057/","10 Madison Sq W, Unit 5E")</f>
        <v>10 Madison Sq W, Unit 5E</v>
      </c>
      <c r="B231" s="2" t="str">
        <f t="shared" si="31"/>
        <v>10 Madison Square West</v>
      </c>
      <c r="C231" s="1" t="s">
        <v>56</v>
      </c>
      <c r="D231" s="1" t="s">
        <v>41</v>
      </c>
      <c r="E231" s="3">
        <v>10100000</v>
      </c>
      <c r="F231" s="1">
        <v>3517.9380006966198</v>
      </c>
      <c r="G231" s="1">
        <v>6</v>
      </c>
      <c r="H231" s="1">
        <v>3</v>
      </c>
      <c r="J231" s="1">
        <v>3.5</v>
      </c>
      <c r="M231" s="4">
        <v>2871</v>
      </c>
      <c r="N231" s="1">
        <v>3611</v>
      </c>
      <c r="O231" s="1">
        <v>9174</v>
      </c>
      <c r="P231" s="1">
        <v>5563</v>
      </c>
      <c r="Q231" s="1" t="s">
        <v>42</v>
      </c>
      <c r="S231" s="1" t="s">
        <v>42</v>
      </c>
      <c r="T231" s="1" t="s">
        <v>153</v>
      </c>
      <c r="U231" s="1">
        <v>155</v>
      </c>
      <c r="V231" s="5">
        <v>43161</v>
      </c>
      <c r="W231" s="5">
        <v>42948</v>
      </c>
      <c r="X231" s="1">
        <v>11500000</v>
      </c>
      <c r="Y231" s="1">
        <v>10500000</v>
      </c>
      <c r="Z231" s="5">
        <v>43104</v>
      </c>
      <c r="AA231" s="1">
        <v>10100000</v>
      </c>
      <c r="AB231" s="1" t="s">
        <v>169</v>
      </c>
      <c r="AC231" s="5">
        <v>43154</v>
      </c>
      <c r="AF231" s="1">
        <v>10010</v>
      </c>
      <c r="AI231" s="1" t="s">
        <v>45</v>
      </c>
      <c r="AJ231" s="1">
        <v>1915</v>
      </c>
      <c r="AK231" s="1" t="s">
        <v>46</v>
      </c>
      <c r="AL231" s="1">
        <v>125</v>
      </c>
    </row>
    <row r="232" spans="1:38" x14ac:dyDescent="0.2">
      <c r="A232" s="2" t="str">
        <f>HYPERLINK("https://www.compass.com/listing/10-madison-square-west-unit-15e-manhattan-ny-10010/29374746021925969/","10 Madison Sq W, Unit 15E")</f>
        <v>10 Madison Sq W, Unit 15E</v>
      </c>
      <c r="B232" s="2" t="str">
        <f t="shared" si="31"/>
        <v>10 Madison Square West</v>
      </c>
      <c r="C232" s="1" t="s">
        <v>56</v>
      </c>
      <c r="D232" s="1" t="s">
        <v>41</v>
      </c>
      <c r="E232" s="3">
        <v>7935000</v>
      </c>
      <c r="F232" s="1">
        <v>3380.9118023008</v>
      </c>
      <c r="G232" s="1">
        <v>5</v>
      </c>
      <c r="H232" s="1">
        <v>3</v>
      </c>
      <c r="J232" s="1">
        <v>3.5</v>
      </c>
      <c r="M232" s="4">
        <v>2347</v>
      </c>
      <c r="N232" s="1">
        <v>2948.16</v>
      </c>
      <c r="O232" s="1">
        <v>6989.91</v>
      </c>
      <c r="P232" s="1">
        <v>4041.75</v>
      </c>
      <c r="Q232" s="1" t="s">
        <v>42</v>
      </c>
      <c r="S232" s="1" t="s">
        <v>42</v>
      </c>
      <c r="T232" s="1" t="s">
        <v>153</v>
      </c>
      <c r="U232" s="1">
        <v>222</v>
      </c>
      <c r="V232" s="5">
        <v>42861</v>
      </c>
      <c r="W232" s="5">
        <v>42593</v>
      </c>
      <c r="X232" s="1">
        <v>10995000</v>
      </c>
      <c r="Y232" s="1">
        <v>7995000</v>
      </c>
      <c r="Z232" s="5">
        <v>42858</v>
      </c>
      <c r="AA232" s="1">
        <v>7935000</v>
      </c>
      <c r="AB232" s="1" t="s">
        <v>170</v>
      </c>
      <c r="AC232" s="5">
        <v>42859</v>
      </c>
      <c r="AF232" s="1">
        <v>10010</v>
      </c>
      <c r="AI232" s="1" t="s">
        <v>45</v>
      </c>
      <c r="AJ232" s="1">
        <v>1915</v>
      </c>
      <c r="AK232" s="1" t="s">
        <v>46</v>
      </c>
      <c r="AL232" s="1">
        <v>125</v>
      </c>
    </row>
    <row r="233" spans="1:38" x14ac:dyDescent="0.2">
      <c r="A233" s="2" t="str">
        <f>HYPERLINK("https://www.compass.com/listing/10-madison-square-west-unit-15a-manhattan-ny-10010/617919576979729417/","10 Madison Sq W, Unit 15A")</f>
        <v>10 Madison Sq W, Unit 15A</v>
      </c>
      <c r="B233" s="2" t="str">
        <f t="shared" si="31"/>
        <v>10 Madison Square West</v>
      </c>
      <c r="C233" s="1" t="s">
        <v>56</v>
      </c>
      <c r="D233" s="1" t="s">
        <v>41</v>
      </c>
      <c r="E233" s="3">
        <v>5225000</v>
      </c>
      <c r="F233" s="1">
        <v>2369.61451247165</v>
      </c>
      <c r="G233" s="1">
        <v>6</v>
      </c>
      <c r="H233" s="1">
        <v>3</v>
      </c>
      <c r="I233" s="1">
        <v>4</v>
      </c>
      <c r="J233" s="1">
        <v>3.5</v>
      </c>
      <c r="K233" s="1">
        <v>3</v>
      </c>
      <c r="L233" s="1">
        <v>1</v>
      </c>
      <c r="M233" s="4">
        <v>2205</v>
      </c>
      <c r="N233" s="1">
        <v>2962</v>
      </c>
      <c r="O233" s="1">
        <v>7656</v>
      </c>
      <c r="P233" s="1">
        <v>4694</v>
      </c>
      <c r="S233" s="1" t="s">
        <v>42</v>
      </c>
      <c r="T233" s="1" t="s">
        <v>153</v>
      </c>
      <c r="U233" s="1">
        <v>177</v>
      </c>
      <c r="V233" s="5">
        <v>44340</v>
      </c>
      <c r="W233" s="5">
        <v>44104</v>
      </c>
      <c r="X233" s="1">
        <v>5795000</v>
      </c>
      <c r="Y233" s="1">
        <v>5795000</v>
      </c>
      <c r="Z233" s="5">
        <v>44282</v>
      </c>
      <c r="AA233" s="1">
        <v>5225000</v>
      </c>
      <c r="AB233" s="1" t="s">
        <v>171</v>
      </c>
      <c r="AC233" s="5">
        <v>44337</v>
      </c>
      <c r="AF233" s="1">
        <v>10010</v>
      </c>
      <c r="AI233" s="1" t="s">
        <v>45</v>
      </c>
      <c r="AJ233" s="1">
        <v>1915</v>
      </c>
      <c r="AK233" s="1" t="s">
        <v>49</v>
      </c>
      <c r="AL233" s="1">
        <v>125</v>
      </c>
    </row>
    <row r="234" spans="1:38" x14ac:dyDescent="0.2">
      <c r="A234" s="2" t="str">
        <f>HYPERLINK("https://www.compass.com/listing/160-east-22nd-street-unit-phb-manhattan-ny-10010/29378207086124145/","160 E 22nd St, Unit PHB")</f>
        <v>160 E 22nd St, Unit PHB</v>
      </c>
      <c r="B234" s="2" t="str">
        <f>HYPERLINK("https://www.compass.com/building/160-e-22nd-st-manhattan-ny-10010/292796862321154661/","160 E 22nd St")</f>
        <v>160 E 22nd St</v>
      </c>
      <c r="C234" s="1" t="s">
        <v>54</v>
      </c>
      <c r="D234" s="1" t="s">
        <v>41</v>
      </c>
      <c r="E234" s="3">
        <v>5625000</v>
      </c>
      <c r="F234" s="1">
        <v>2990.43062200956</v>
      </c>
      <c r="G234" s="1">
        <v>6</v>
      </c>
      <c r="H234" s="1">
        <v>3</v>
      </c>
      <c r="J234" s="1">
        <v>2.5</v>
      </c>
      <c r="M234" s="4">
        <v>1881</v>
      </c>
      <c r="N234" s="1">
        <v>2494</v>
      </c>
      <c r="O234" s="1">
        <v>5136</v>
      </c>
      <c r="P234" s="1">
        <v>2642</v>
      </c>
      <c r="Q234" s="1" t="s">
        <v>42</v>
      </c>
      <c r="S234" s="1" t="s">
        <v>42</v>
      </c>
      <c r="T234" s="1" t="s">
        <v>153</v>
      </c>
      <c r="U234" s="1">
        <v>155</v>
      </c>
      <c r="V234" s="5">
        <v>43215</v>
      </c>
      <c r="W234" s="5">
        <v>43021</v>
      </c>
      <c r="X234" s="1">
        <v>5995000</v>
      </c>
      <c r="Y234" s="1">
        <v>5750000</v>
      </c>
      <c r="Z234" s="5">
        <v>43176</v>
      </c>
      <c r="AA234" s="1">
        <v>5625000</v>
      </c>
      <c r="AB234" s="1" t="s">
        <v>172</v>
      </c>
      <c r="AC234" s="5">
        <v>43209</v>
      </c>
      <c r="AF234" s="1">
        <v>10010</v>
      </c>
      <c r="AI234" s="1" t="s">
        <v>173</v>
      </c>
      <c r="AJ234" s="1">
        <v>2012</v>
      </c>
      <c r="AK234" s="1" t="s">
        <v>49</v>
      </c>
      <c r="AL234" s="1">
        <v>81</v>
      </c>
    </row>
    <row r="235" spans="1:38" x14ac:dyDescent="0.2">
      <c r="A235" s="2" t="str">
        <f>HYPERLINK("https://www.compass.com/listing/449-washington-street-unit-1-manhattan-ny-10013/29359548808592849/","449 Washington St, Unit 1")</f>
        <v>449 Washington St, Unit 1</v>
      </c>
      <c r="B235" s="2" t="str">
        <f>HYPERLINK("https://www.compass.com/building/449-washington-street-manhattan-ny/281919898303629445/","449 Washington Street")</f>
        <v>449 Washington Street</v>
      </c>
      <c r="C235" s="1" t="s">
        <v>65</v>
      </c>
      <c r="D235" s="1" t="s">
        <v>41</v>
      </c>
      <c r="E235" s="3">
        <v>5086159</v>
      </c>
      <c r="F235" s="1">
        <v>1571.7425061804599</v>
      </c>
      <c r="G235" s="1">
        <v>5</v>
      </c>
      <c r="H235" s="1">
        <v>3</v>
      </c>
      <c r="I235" s="1">
        <v>3.5</v>
      </c>
      <c r="J235" s="1">
        <v>3.5</v>
      </c>
      <c r="M235" s="4">
        <v>3236</v>
      </c>
      <c r="N235" s="1">
        <v>2882</v>
      </c>
      <c r="O235" s="1">
        <v>6214</v>
      </c>
      <c r="P235" s="1">
        <v>3332</v>
      </c>
      <c r="Q235" s="1" t="s">
        <v>42</v>
      </c>
      <c r="S235" s="1" t="s">
        <v>42</v>
      </c>
      <c r="T235" s="1" t="s">
        <v>153</v>
      </c>
      <c r="U235" s="1">
        <v>5</v>
      </c>
      <c r="V235" s="5">
        <v>43701</v>
      </c>
      <c r="W235" s="5">
        <v>42139</v>
      </c>
      <c r="X235" s="1">
        <v>5995000</v>
      </c>
      <c r="Y235" s="1">
        <v>5995000</v>
      </c>
      <c r="AA235" s="1">
        <v>5086158.75</v>
      </c>
      <c r="AB235" s="1" t="s">
        <v>174</v>
      </c>
      <c r="AC235" s="5">
        <v>42461</v>
      </c>
      <c r="AF235" s="1">
        <v>10013</v>
      </c>
      <c r="AI235" s="1" t="s">
        <v>107</v>
      </c>
      <c r="AJ235" s="1">
        <v>1920</v>
      </c>
      <c r="AK235" s="1" t="s">
        <v>175</v>
      </c>
      <c r="AL235" s="1">
        <v>4</v>
      </c>
    </row>
    <row r="236" spans="1:38" x14ac:dyDescent="0.2">
      <c r="A236" s="2" t="str">
        <f>HYPERLINK("https://www.compass.com/listing/15-hubert-street-unit-3b-manhattan-ny-10013/470250883495135665/","15 Hubert St, Unit 3B")</f>
        <v>15 Hubert St, Unit 3B</v>
      </c>
      <c r="B236" s="2" t="str">
        <f>HYPERLINK("https://www.compass.com/building/15-hubert-st-manhattan-ny-10013/281929572709086677/","15 Hubert St")</f>
        <v>15 Hubert St</v>
      </c>
      <c r="C236" s="1" t="s">
        <v>65</v>
      </c>
      <c r="D236" s="1" t="s">
        <v>41</v>
      </c>
      <c r="E236" s="3">
        <v>3600000</v>
      </c>
      <c r="F236" s="1">
        <v>1554.4041450777199</v>
      </c>
      <c r="G236" s="1">
        <v>7</v>
      </c>
      <c r="H236" s="1">
        <v>2</v>
      </c>
      <c r="I236" s="1">
        <v>3</v>
      </c>
      <c r="J236" s="1">
        <v>2.5</v>
      </c>
      <c r="K236" s="1">
        <v>2</v>
      </c>
      <c r="L236" s="1">
        <v>1</v>
      </c>
      <c r="M236" s="4">
        <v>2316</v>
      </c>
      <c r="N236" s="1">
        <v>2410.48</v>
      </c>
      <c r="O236" s="1">
        <v>5410.1</v>
      </c>
      <c r="P236" s="1">
        <v>2999.5833333333298</v>
      </c>
      <c r="Q236" s="1" t="s">
        <v>42</v>
      </c>
      <c r="S236" s="1" t="s">
        <v>42</v>
      </c>
      <c r="T236" s="1" t="s">
        <v>153</v>
      </c>
      <c r="U236" s="1">
        <v>187</v>
      </c>
      <c r="V236" s="5">
        <v>44277</v>
      </c>
      <c r="W236" s="5">
        <v>43994</v>
      </c>
      <c r="X236" s="1">
        <v>4195000</v>
      </c>
      <c r="Y236" s="1">
        <v>3750000</v>
      </c>
      <c r="Z236" s="5">
        <v>44204</v>
      </c>
      <c r="AA236" s="1">
        <v>3600000</v>
      </c>
      <c r="AB236" s="1" t="s">
        <v>176</v>
      </c>
      <c r="AC236" s="5">
        <v>44272</v>
      </c>
      <c r="AF236" s="1">
        <v>10013</v>
      </c>
      <c r="AI236" s="1" t="s">
        <v>107</v>
      </c>
      <c r="AJ236" s="1">
        <v>1867</v>
      </c>
      <c r="AK236" s="1" t="s">
        <v>59</v>
      </c>
      <c r="AL236" s="1">
        <v>13</v>
      </c>
    </row>
    <row r="237" spans="1:38" x14ac:dyDescent="0.2">
      <c r="A237" s="2" t="str">
        <f>HYPERLINK("https://www.compass.com/listing/449-washington-street-unit-ph-manhattan-ny-10013/4852349787183264465/","449 Washington St, Unit PH")</f>
        <v>449 Washington St, Unit PH</v>
      </c>
      <c r="B237" s="2" t="str">
        <f t="shared" ref="B237:B238" si="32">HYPERLINK("https://www.compass.com/building/449-washington-street-manhattan-ny/281919898303629445/","449 Washington Street")</f>
        <v>449 Washington Street</v>
      </c>
      <c r="C237" s="1" t="s">
        <v>65</v>
      </c>
      <c r="D237" s="1" t="s">
        <v>41</v>
      </c>
      <c r="E237" s="3">
        <v>6000000</v>
      </c>
      <c r="F237" s="1">
        <v>1900.5384859043299</v>
      </c>
      <c r="G237" s="1">
        <v>7</v>
      </c>
      <c r="H237" s="1">
        <v>4</v>
      </c>
      <c r="I237" s="1">
        <v>2.5</v>
      </c>
      <c r="J237" s="1">
        <v>2.5</v>
      </c>
      <c r="M237" s="4">
        <v>3157</v>
      </c>
      <c r="N237" s="1">
        <v>2812</v>
      </c>
      <c r="O237" s="1">
        <v>5272.92</v>
      </c>
      <c r="P237" s="1">
        <v>2460.9166666666601</v>
      </c>
      <c r="Q237" s="1" t="s">
        <v>42</v>
      </c>
      <c r="S237" s="1" t="s">
        <v>42</v>
      </c>
      <c r="T237" s="1" t="s">
        <v>153</v>
      </c>
      <c r="U237" s="1">
        <v>231</v>
      </c>
      <c r="V237" s="5">
        <v>42496</v>
      </c>
      <c r="W237" s="5">
        <v>42130</v>
      </c>
      <c r="X237" s="1">
        <v>7000000</v>
      </c>
      <c r="Y237" s="1">
        <v>6500000</v>
      </c>
      <c r="Z237" s="5">
        <v>42362</v>
      </c>
      <c r="AA237" s="1">
        <v>6000000</v>
      </c>
      <c r="AB237" s="1" t="s">
        <v>177</v>
      </c>
      <c r="AC237" s="5">
        <v>42496</v>
      </c>
      <c r="AF237" s="1">
        <v>10013</v>
      </c>
      <c r="AI237" s="1" t="s">
        <v>178</v>
      </c>
      <c r="AJ237" s="1">
        <v>1920</v>
      </c>
      <c r="AK237" s="1" t="s">
        <v>59</v>
      </c>
      <c r="AL237" s="1">
        <v>4</v>
      </c>
    </row>
    <row r="238" spans="1:38" x14ac:dyDescent="0.2">
      <c r="A238" s="2" t="str">
        <f>HYPERLINK("https://www.compass.com/listing/449-washington-street-unit-mais-manhattan-ny-10013/4852349686343808017/","449 Washington St, Unit MAIS")</f>
        <v>449 Washington St, Unit MAIS</v>
      </c>
      <c r="B238" s="2" t="str">
        <f t="shared" si="32"/>
        <v>449 Washington Street</v>
      </c>
      <c r="C238" s="1" t="s">
        <v>65</v>
      </c>
      <c r="D238" s="1" t="s">
        <v>41</v>
      </c>
      <c r="E238" s="3">
        <v>4995000</v>
      </c>
      <c r="F238" s="1">
        <v>1543.57231149567</v>
      </c>
      <c r="G238" s="1">
        <v>7</v>
      </c>
      <c r="H238" s="1">
        <v>3</v>
      </c>
      <c r="I238" s="1">
        <v>3.5</v>
      </c>
      <c r="J238" s="1">
        <v>3.5</v>
      </c>
      <c r="M238" s="4">
        <v>3236</v>
      </c>
      <c r="N238" s="1">
        <v>2882</v>
      </c>
      <c r="O238" s="1">
        <v>5409.75</v>
      </c>
      <c r="P238" s="1">
        <v>2527.75</v>
      </c>
      <c r="Q238" s="1" t="s">
        <v>42</v>
      </c>
      <c r="S238" s="1" t="s">
        <v>42</v>
      </c>
      <c r="T238" s="1" t="s">
        <v>153</v>
      </c>
      <c r="U238" s="1">
        <v>121</v>
      </c>
      <c r="V238" s="5">
        <v>42496</v>
      </c>
      <c r="W238" s="5">
        <v>42144</v>
      </c>
      <c r="X238" s="1">
        <v>5995000</v>
      </c>
      <c r="Y238" s="1">
        <v>5000000</v>
      </c>
      <c r="Z238" s="5">
        <v>42412</v>
      </c>
      <c r="AA238" s="1">
        <v>5000000</v>
      </c>
      <c r="AB238" s="1" t="s">
        <v>177</v>
      </c>
      <c r="AC238" s="5">
        <v>42493</v>
      </c>
      <c r="AF238" s="1">
        <v>10013</v>
      </c>
      <c r="AI238" s="1" t="s">
        <v>107</v>
      </c>
      <c r="AJ238" s="1">
        <v>1920</v>
      </c>
      <c r="AK238" s="1" t="s">
        <v>175</v>
      </c>
      <c r="AL238" s="1">
        <v>4</v>
      </c>
    </row>
    <row r="239" spans="1:38" x14ac:dyDescent="0.2">
      <c r="A239" s="2" t="str">
        <f>HYPERLINK("https://www.compass.com/listing/71-laight-street-unit-4a-manhattan-ny-10013/29359348161467825/","71 Laight St, Unit 4A")</f>
        <v>71 Laight St, Unit 4A</v>
      </c>
      <c r="B239" s="2" t="str">
        <f t="shared" ref="B239:B243" si="33">HYPERLINK("https://www.compass.com/building/the-sterling-mason-manhattan-ny/281919618778432805/","The Sterling Mason")</f>
        <v>The Sterling Mason</v>
      </c>
      <c r="C239" s="1" t="s">
        <v>65</v>
      </c>
      <c r="D239" s="1" t="s">
        <v>41</v>
      </c>
      <c r="E239" s="3">
        <v>4100000</v>
      </c>
      <c r="F239" s="1">
        <v>2007.83545543584</v>
      </c>
      <c r="G239" s="1">
        <v>5</v>
      </c>
      <c r="H239" s="1">
        <v>2</v>
      </c>
      <c r="J239" s="1">
        <v>2.5</v>
      </c>
      <c r="M239" s="4">
        <v>2042</v>
      </c>
      <c r="N239" s="1">
        <v>3282.52</v>
      </c>
      <c r="O239" s="1">
        <v>5545.6</v>
      </c>
      <c r="P239" s="1">
        <v>2263.0833333333298</v>
      </c>
      <c r="Q239" s="1" t="s">
        <v>42</v>
      </c>
      <c r="S239" s="1" t="s">
        <v>42</v>
      </c>
      <c r="T239" s="1" t="s">
        <v>153</v>
      </c>
      <c r="U239" s="1">
        <v>49</v>
      </c>
      <c r="V239" s="5">
        <v>44209</v>
      </c>
      <c r="W239" s="5">
        <v>42769</v>
      </c>
      <c r="Y239" s="1">
        <v>4250000</v>
      </c>
      <c r="Z239" s="5">
        <v>42819</v>
      </c>
      <c r="AA239" s="1">
        <v>4100000</v>
      </c>
      <c r="AB239" s="1" t="s">
        <v>179</v>
      </c>
      <c r="AC239" s="5">
        <v>42853</v>
      </c>
      <c r="AF239" s="1">
        <v>10013</v>
      </c>
      <c r="AI239" s="1" t="s">
        <v>180</v>
      </c>
      <c r="AJ239" s="1">
        <v>2015</v>
      </c>
      <c r="AK239" s="1" t="s">
        <v>49</v>
      </c>
      <c r="AL239" s="1">
        <v>33</v>
      </c>
    </row>
    <row r="240" spans="1:38" x14ac:dyDescent="0.2">
      <c r="A240" s="2" t="str">
        <f>HYPERLINK("https://www.compass.com/listing/71-laight-street-unit-2a-manhattan-ny-10013/692631225635143913/","71 Laight St, Unit 2A")</f>
        <v>71 Laight St, Unit 2A</v>
      </c>
      <c r="B240" s="2" t="str">
        <f t="shared" si="33"/>
        <v>The Sterling Mason</v>
      </c>
      <c r="C240" s="1" t="s">
        <v>65</v>
      </c>
      <c r="D240" s="1" t="s">
        <v>41</v>
      </c>
      <c r="E240" s="3">
        <v>4000000</v>
      </c>
      <c r="F240" s="1">
        <v>1958.8638589617999</v>
      </c>
      <c r="G240" s="1">
        <v>7</v>
      </c>
      <c r="H240" s="1">
        <v>2</v>
      </c>
      <c r="I240" s="1">
        <v>3</v>
      </c>
      <c r="J240" s="1">
        <v>2.5</v>
      </c>
      <c r="K240" s="1">
        <v>2</v>
      </c>
      <c r="L240" s="1">
        <v>1</v>
      </c>
      <c r="M240" s="4">
        <v>2042</v>
      </c>
      <c r="N240" s="1">
        <v>3483.41</v>
      </c>
      <c r="O240" s="1">
        <v>5502.41</v>
      </c>
      <c r="P240" s="1">
        <v>2019</v>
      </c>
      <c r="Q240" s="1" t="s">
        <v>42</v>
      </c>
      <c r="S240" s="1" t="s">
        <v>42</v>
      </c>
      <c r="T240" s="1" t="s">
        <v>153</v>
      </c>
      <c r="U240" s="1">
        <v>50</v>
      </c>
      <c r="V240" s="5">
        <v>44335</v>
      </c>
      <c r="W240" s="5">
        <v>44207</v>
      </c>
      <c r="X240" s="1">
        <v>3995000</v>
      </c>
      <c r="Y240" s="1">
        <v>3995000</v>
      </c>
      <c r="Z240" s="5">
        <v>44258</v>
      </c>
      <c r="AA240" s="1">
        <v>4000000</v>
      </c>
      <c r="AB240" s="1" t="s">
        <v>181</v>
      </c>
      <c r="AC240" s="5">
        <v>44330</v>
      </c>
      <c r="AF240" s="1">
        <v>10013</v>
      </c>
      <c r="AI240" s="1" t="s">
        <v>180</v>
      </c>
      <c r="AJ240" s="1">
        <v>2015</v>
      </c>
      <c r="AK240" s="1" t="s">
        <v>49</v>
      </c>
      <c r="AL240" s="1">
        <v>33</v>
      </c>
    </row>
    <row r="241" spans="1:38" x14ac:dyDescent="0.2">
      <c r="A241" s="2" t="str">
        <f>HYPERLINK("https://www.compass.com/listing/71-laight-street-unit-phc-manhattan-ny-10013/29519868671884465/","71 Laight St, Unit PHC")</f>
        <v>71 Laight St, Unit PHC</v>
      </c>
      <c r="B241" s="2" t="str">
        <f t="shared" si="33"/>
        <v>The Sterling Mason</v>
      </c>
      <c r="C241" s="1" t="s">
        <v>65</v>
      </c>
      <c r="D241" s="1" t="s">
        <v>41</v>
      </c>
      <c r="E241" s="3">
        <v>13000000</v>
      </c>
      <c r="F241" s="1">
        <v>2607.3004412354499</v>
      </c>
      <c r="G241" s="1">
        <v>17</v>
      </c>
      <c r="H241" s="1">
        <v>4</v>
      </c>
      <c r="I241" s="1">
        <v>5</v>
      </c>
      <c r="J241" s="1">
        <v>5</v>
      </c>
      <c r="M241" s="4">
        <v>4986</v>
      </c>
      <c r="N241" s="1">
        <v>8686.15</v>
      </c>
      <c r="O241" s="1">
        <v>14849.4</v>
      </c>
      <c r="P241" s="1">
        <v>6163.25</v>
      </c>
      <c r="S241" s="1" t="s">
        <v>42</v>
      </c>
      <c r="T241" s="1" t="s">
        <v>153</v>
      </c>
      <c r="U241" s="1">
        <v>320</v>
      </c>
      <c r="V241" s="5">
        <v>43698</v>
      </c>
      <c r="W241" s="5">
        <v>43029</v>
      </c>
      <c r="X241" s="1">
        <v>17500000</v>
      </c>
      <c r="Y241" s="1">
        <v>15000000</v>
      </c>
      <c r="Z241" s="5">
        <v>43349</v>
      </c>
      <c r="AA241" s="1">
        <v>13240000</v>
      </c>
      <c r="AB241" s="1" t="s">
        <v>177</v>
      </c>
      <c r="AC241" s="5">
        <v>43483</v>
      </c>
      <c r="AF241" s="1">
        <v>10013</v>
      </c>
      <c r="AI241" s="1" t="s">
        <v>146</v>
      </c>
      <c r="AJ241" s="1">
        <v>2015</v>
      </c>
      <c r="AK241" s="1" t="s">
        <v>49</v>
      </c>
      <c r="AL241" s="1">
        <v>33</v>
      </c>
    </row>
    <row r="242" spans="1:38" x14ac:dyDescent="0.2">
      <c r="A242" s="2" t="str">
        <f>HYPERLINK("https://www.compass.com/listing/71-laight-street-unit-4d-manhattan-ny-10013/130988136804125089/","71 Laight St, Unit 4D")</f>
        <v>71 Laight St, Unit 4D</v>
      </c>
      <c r="B242" s="2" t="str">
        <f t="shared" si="33"/>
        <v>The Sterling Mason</v>
      </c>
      <c r="C242" s="1" t="s">
        <v>65</v>
      </c>
      <c r="D242" s="1" t="s">
        <v>41</v>
      </c>
      <c r="E242" s="3">
        <v>8275000</v>
      </c>
      <c r="F242" s="1">
        <v>2551.64970706136</v>
      </c>
      <c r="G242" s="1">
        <v>8</v>
      </c>
      <c r="H242" s="1">
        <v>4</v>
      </c>
      <c r="I242" s="1">
        <v>5</v>
      </c>
      <c r="J242" s="1">
        <v>4.5</v>
      </c>
      <c r="K242" s="1">
        <v>4</v>
      </c>
      <c r="L242" s="1">
        <v>1</v>
      </c>
      <c r="M242" s="4">
        <v>3243</v>
      </c>
      <c r="N242" s="1">
        <v>5370.32</v>
      </c>
      <c r="O242" s="1">
        <v>9088.82</v>
      </c>
      <c r="P242" s="1">
        <v>3718.5</v>
      </c>
      <c r="S242" s="1" t="s">
        <v>42</v>
      </c>
      <c r="T242" s="1" t="s">
        <v>153</v>
      </c>
      <c r="U242" s="1">
        <v>71</v>
      </c>
      <c r="V242" s="5">
        <v>43698</v>
      </c>
      <c r="W242" s="5">
        <v>43468</v>
      </c>
      <c r="X242" s="1">
        <v>8500000</v>
      </c>
      <c r="Y242" s="1">
        <v>8500000</v>
      </c>
      <c r="Z242" s="5">
        <v>43540</v>
      </c>
      <c r="AA242" s="1">
        <v>8275000</v>
      </c>
      <c r="AB242" s="1" t="s">
        <v>177</v>
      </c>
      <c r="AC242" s="5">
        <v>43626</v>
      </c>
      <c r="AF242" s="1">
        <v>10013</v>
      </c>
      <c r="AI242" s="1" t="s">
        <v>180</v>
      </c>
      <c r="AJ242" s="1">
        <v>2015</v>
      </c>
      <c r="AK242" s="1" t="s">
        <v>49</v>
      </c>
      <c r="AL242" s="1">
        <v>33</v>
      </c>
    </row>
    <row r="243" spans="1:38" x14ac:dyDescent="0.2">
      <c r="A243" s="2" t="str">
        <f>HYPERLINK("https://www.compass.com/listing/71-laight-street-unit-pha-manhattan-ny-10013/227419165596649073/","71 Laight St, Unit PHA")</f>
        <v>71 Laight St, Unit PHA</v>
      </c>
      <c r="B243" s="2" t="str">
        <f t="shared" si="33"/>
        <v>The Sterling Mason</v>
      </c>
      <c r="C243" s="1" t="s">
        <v>65</v>
      </c>
      <c r="D243" s="1" t="s">
        <v>41</v>
      </c>
      <c r="E243" s="3">
        <v>19500000</v>
      </c>
      <c r="F243" s="1">
        <v>4239.1304347825999</v>
      </c>
      <c r="G243" s="1">
        <v>10</v>
      </c>
      <c r="H243" s="1">
        <v>3</v>
      </c>
      <c r="J243" s="1">
        <v>4</v>
      </c>
      <c r="M243" s="4">
        <v>4600</v>
      </c>
      <c r="N243" s="1">
        <v>9183.27</v>
      </c>
      <c r="O243" s="1">
        <v>15541.93</v>
      </c>
      <c r="P243" s="1">
        <v>6358.6666666666597</v>
      </c>
      <c r="Q243" s="1" t="s">
        <v>42</v>
      </c>
      <c r="S243" s="1" t="s">
        <v>42</v>
      </c>
      <c r="T243" s="1" t="s">
        <v>153</v>
      </c>
      <c r="U243" s="1">
        <v>25</v>
      </c>
      <c r="V243" s="5">
        <v>44209</v>
      </c>
      <c r="W243" s="5">
        <v>43566</v>
      </c>
      <c r="X243" s="1">
        <v>20000000</v>
      </c>
      <c r="Y243" s="1">
        <v>20000000</v>
      </c>
      <c r="Z243" s="5">
        <v>43592</v>
      </c>
      <c r="AA243" s="1">
        <v>19500000</v>
      </c>
      <c r="AB243" s="1" t="s">
        <v>182</v>
      </c>
      <c r="AC243" s="5">
        <v>43630</v>
      </c>
      <c r="AF243" s="1">
        <v>10013</v>
      </c>
      <c r="AI243" s="1" t="s">
        <v>183</v>
      </c>
      <c r="AJ243" s="1">
        <v>2015</v>
      </c>
      <c r="AK243" s="1" t="s">
        <v>49</v>
      </c>
      <c r="AL243" s="1">
        <v>33</v>
      </c>
    </row>
    <row r="244" spans="1:38" x14ac:dyDescent="0.2">
      <c r="A244" s="2" t="str">
        <f>HYPERLINK("https://www.compass.com/listing/101-leonard-street-unit-7f-manhattan-ny-10013/175302189365875713/","101 Leonard St, Unit 7F")</f>
        <v>101 Leonard St, Unit 7F</v>
      </c>
      <c r="B244" s="2" t="str">
        <f t="shared" ref="B244:B245" si="34">HYPERLINK("https://www.compass.com/building/the-leonard-manhattan-ny/281919139939910965/","The Leonard")</f>
        <v>The Leonard</v>
      </c>
      <c r="C244" s="1" t="s">
        <v>65</v>
      </c>
      <c r="D244" s="1" t="s">
        <v>41</v>
      </c>
      <c r="E244" s="3">
        <v>2070000</v>
      </c>
      <c r="F244" s="1">
        <v>1623.5294117646999</v>
      </c>
      <c r="G244" s="1">
        <v>4</v>
      </c>
      <c r="H244" s="1">
        <v>2</v>
      </c>
      <c r="I244" s="1">
        <v>2</v>
      </c>
      <c r="J244" s="1">
        <v>2</v>
      </c>
      <c r="K244" s="1">
        <v>2</v>
      </c>
      <c r="M244" s="4">
        <v>1275</v>
      </c>
      <c r="N244" s="1">
        <v>1687.55</v>
      </c>
      <c r="O244" s="1">
        <v>2993.3599999999901</v>
      </c>
      <c r="P244" s="1">
        <v>1305.8333333333301</v>
      </c>
      <c r="Q244" s="1" t="s">
        <v>42</v>
      </c>
      <c r="S244" s="1" t="s">
        <v>42</v>
      </c>
      <c r="T244" s="1" t="s">
        <v>153</v>
      </c>
      <c r="U244" s="1">
        <v>36</v>
      </c>
      <c r="V244" s="5">
        <v>43616</v>
      </c>
      <c r="W244" s="5">
        <v>43498</v>
      </c>
      <c r="X244" s="1">
        <v>2150000</v>
      </c>
      <c r="Y244" s="1">
        <v>2150000</v>
      </c>
      <c r="Z244" s="5">
        <v>43534</v>
      </c>
      <c r="AA244" s="1">
        <v>2070000</v>
      </c>
      <c r="AB244" s="1" t="s">
        <v>184</v>
      </c>
      <c r="AC244" s="5">
        <v>43614</v>
      </c>
      <c r="AF244" s="1">
        <v>10013</v>
      </c>
      <c r="AI244" s="1" t="s">
        <v>55</v>
      </c>
      <c r="AJ244" s="1">
        <v>2014</v>
      </c>
      <c r="AK244" s="1" t="s">
        <v>49</v>
      </c>
      <c r="AL244" s="1">
        <v>66</v>
      </c>
    </row>
    <row r="245" spans="1:38" x14ac:dyDescent="0.2">
      <c r="A245" s="2" t="str">
        <f>HYPERLINK("https://www.compass.com/listing/101-leonard-street-unit-7c-manhattan-ny-10013/654393387878296809/","101 Leonard St, Unit 7C")</f>
        <v>101 Leonard St, Unit 7C</v>
      </c>
      <c r="B245" s="2" t="str">
        <f t="shared" si="34"/>
        <v>The Leonard</v>
      </c>
      <c r="C245" s="1" t="s">
        <v>77</v>
      </c>
      <c r="D245" s="1" t="s">
        <v>41</v>
      </c>
      <c r="E245" s="3">
        <v>1235500</v>
      </c>
      <c r="F245" s="1">
        <v>1299.15878023133</v>
      </c>
      <c r="G245" s="1">
        <v>4</v>
      </c>
      <c r="H245" s="1">
        <v>1</v>
      </c>
      <c r="I245" s="1">
        <v>2</v>
      </c>
      <c r="J245" s="1">
        <v>1.5</v>
      </c>
      <c r="K245" s="1">
        <v>1</v>
      </c>
      <c r="L245" s="1">
        <v>1</v>
      </c>
      <c r="M245" s="1">
        <v>951</v>
      </c>
      <c r="N245" s="1">
        <v>1271.9000000000001</v>
      </c>
      <c r="O245" s="1">
        <v>3000.2</v>
      </c>
      <c r="P245" s="1">
        <v>1728.3333333333301</v>
      </c>
      <c r="Q245" s="1" t="s">
        <v>42</v>
      </c>
      <c r="S245" s="1" t="s">
        <v>42</v>
      </c>
      <c r="T245" s="1" t="s">
        <v>153</v>
      </c>
      <c r="U245" s="1">
        <v>112</v>
      </c>
      <c r="V245" s="5">
        <v>44362</v>
      </c>
      <c r="W245" s="5">
        <v>44166</v>
      </c>
      <c r="X245" s="1">
        <v>1325000</v>
      </c>
      <c r="Y245" s="1">
        <v>1325000</v>
      </c>
      <c r="Z245" s="5">
        <v>44279</v>
      </c>
      <c r="AA245" s="1">
        <v>1235500</v>
      </c>
      <c r="AB245" s="1" t="s">
        <v>185</v>
      </c>
      <c r="AC245" s="5">
        <v>44354</v>
      </c>
      <c r="AF245" s="1">
        <v>10013</v>
      </c>
      <c r="AI245" s="1" t="s">
        <v>55</v>
      </c>
      <c r="AJ245" s="1">
        <v>2014</v>
      </c>
      <c r="AK245" s="1" t="s">
        <v>49</v>
      </c>
      <c r="AL245" s="1">
        <v>66</v>
      </c>
    </row>
    <row r="246" spans="1:38" x14ac:dyDescent="0.2">
      <c r="A246" s="2" t="str">
        <f>HYPERLINK("https://www.compass.com/listing/350-west-71st-street-unit-2d-manhattan-ny-10023/568841528666590969/","350 W 71st St, Unit 2D")</f>
        <v>350 W 71st St, Unit 2D</v>
      </c>
      <c r="B246" s="2" t="str">
        <f t="shared" ref="B246:B263" si="35">HYPERLINK("https://www.compass.com/building/350-west-71st-street-manhattan-ny/282058856064910533/","350 West 71st Street")</f>
        <v>350 West 71st Street</v>
      </c>
      <c r="C246" s="1" t="s">
        <v>78</v>
      </c>
      <c r="D246" s="1" t="s">
        <v>41</v>
      </c>
      <c r="E246" s="3">
        <v>1535000</v>
      </c>
      <c r="F246" s="1">
        <v>1516.79841897233</v>
      </c>
      <c r="G246" s="1">
        <v>4</v>
      </c>
      <c r="H246" s="1">
        <v>2</v>
      </c>
      <c r="I246" s="1">
        <v>2</v>
      </c>
      <c r="J246" s="1">
        <v>2</v>
      </c>
      <c r="K246" s="1">
        <v>2</v>
      </c>
      <c r="M246" s="4">
        <v>1012</v>
      </c>
      <c r="N246" s="1">
        <v>1037</v>
      </c>
      <c r="O246" s="1">
        <v>1914</v>
      </c>
      <c r="P246" s="1">
        <v>877</v>
      </c>
      <c r="Q246" s="1" t="s">
        <v>42</v>
      </c>
      <c r="S246" s="1" t="s">
        <v>42</v>
      </c>
      <c r="T246" s="1" t="s">
        <v>153</v>
      </c>
      <c r="U246" s="1">
        <v>115</v>
      </c>
      <c r="V246" s="5">
        <v>44209</v>
      </c>
      <c r="W246" s="5">
        <v>44037</v>
      </c>
      <c r="X246" s="1">
        <v>1745000</v>
      </c>
      <c r="Y246" s="1">
        <v>1650000</v>
      </c>
      <c r="Z246" s="5">
        <v>44152</v>
      </c>
      <c r="AA246" s="1">
        <v>1535000</v>
      </c>
      <c r="AB246" s="1" t="s">
        <v>186</v>
      </c>
      <c r="AC246" s="5">
        <v>44202</v>
      </c>
      <c r="AF246" s="1">
        <v>10023</v>
      </c>
      <c r="AI246" s="1" t="s">
        <v>187</v>
      </c>
      <c r="AJ246" s="1">
        <v>2019</v>
      </c>
      <c r="AK246" s="1" t="s">
        <v>49</v>
      </c>
      <c r="AL246" s="1">
        <v>38</v>
      </c>
    </row>
    <row r="247" spans="1:38" x14ac:dyDescent="0.2">
      <c r="A247" s="2" t="str">
        <f>HYPERLINK("https://www.compass.com/listing/350-west-71st-street-unit-4d-manhattan-ny-10023/646982350536918873/","350 W 71st St, Unit 4D")</f>
        <v>350 W 71st St, Unit 4D</v>
      </c>
      <c r="B247" s="2" t="str">
        <f t="shared" si="35"/>
        <v>350 West 71st Street</v>
      </c>
      <c r="C247" s="1" t="s">
        <v>78</v>
      </c>
      <c r="D247" s="1" t="s">
        <v>41</v>
      </c>
      <c r="E247" s="3">
        <v>1600000</v>
      </c>
      <c r="F247" s="1">
        <v>1581.02766798418</v>
      </c>
      <c r="G247" s="1">
        <v>4</v>
      </c>
      <c r="H247" s="1">
        <v>2</v>
      </c>
      <c r="I247" s="1">
        <v>2</v>
      </c>
      <c r="J247" s="1">
        <v>2</v>
      </c>
      <c r="K247" s="1">
        <v>2</v>
      </c>
      <c r="M247" s="4">
        <v>1012</v>
      </c>
      <c r="N247" s="1">
        <v>1350</v>
      </c>
      <c r="O247" s="1">
        <v>2387</v>
      </c>
      <c r="P247" s="1">
        <v>1037</v>
      </c>
      <c r="Q247" s="1" t="s">
        <v>42</v>
      </c>
      <c r="S247" s="1" t="s">
        <v>42</v>
      </c>
      <c r="T247" s="1" t="s">
        <v>153</v>
      </c>
      <c r="V247" s="5">
        <v>44202</v>
      </c>
      <c r="Y247" s="1">
        <v>1955000</v>
      </c>
      <c r="Z247" s="5">
        <v>44144</v>
      </c>
      <c r="AA247" s="1">
        <v>1600000</v>
      </c>
      <c r="AB247" s="1" t="s">
        <v>188</v>
      </c>
      <c r="AC247" s="5">
        <v>44186</v>
      </c>
      <c r="AF247" s="1">
        <v>10023</v>
      </c>
      <c r="AI247" s="1" t="s">
        <v>187</v>
      </c>
      <c r="AJ247" s="1">
        <v>2019</v>
      </c>
      <c r="AK247" s="1" t="s">
        <v>49</v>
      </c>
      <c r="AL247" s="1">
        <v>38</v>
      </c>
    </row>
    <row r="248" spans="1:38" x14ac:dyDescent="0.2">
      <c r="A248" s="2" t="str">
        <f>HYPERLINK("https://www.compass.com/listing/350-west-71st-street-unit-3d-manhattan-ny-10023/652774990463549561/","350 W 71st St, Unit 3D")</f>
        <v>350 W 71st St, Unit 3D</v>
      </c>
      <c r="B248" s="2" t="str">
        <f t="shared" si="35"/>
        <v>350 West 71st Street</v>
      </c>
      <c r="C248" s="1" t="s">
        <v>78</v>
      </c>
      <c r="D248" s="1" t="s">
        <v>41</v>
      </c>
      <c r="E248" s="3">
        <v>1630000</v>
      </c>
      <c r="F248" s="1">
        <v>1610.6719367588901</v>
      </c>
      <c r="G248" s="1">
        <v>4</v>
      </c>
      <c r="H248" s="1">
        <v>2</v>
      </c>
      <c r="I248" s="1">
        <v>2</v>
      </c>
      <c r="J248" s="1">
        <v>2</v>
      </c>
      <c r="K248" s="1">
        <v>2</v>
      </c>
      <c r="M248" s="4">
        <v>1012</v>
      </c>
      <c r="N248" s="1">
        <v>1037</v>
      </c>
      <c r="O248" s="1">
        <v>1914</v>
      </c>
      <c r="P248" s="1">
        <v>877</v>
      </c>
      <c r="Q248" s="1" t="s">
        <v>42</v>
      </c>
      <c r="S248" s="1" t="s">
        <v>42</v>
      </c>
      <c r="T248" s="1" t="s">
        <v>153</v>
      </c>
      <c r="V248" s="5">
        <v>44263</v>
      </c>
      <c r="Y248" s="1">
        <v>1835000</v>
      </c>
      <c r="Z248" s="5">
        <v>44152</v>
      </c>
      <c r="AA248" s="1">
        <v>1630000</v>
      </c>
      <c r="AB248" s="1" t="s">
        <v>189</v>
      </c>
      <c r="AC248" s="5">
        <v>44253</v>
      </c>
      <c r="AF248" s="1">
        <v>10023</v>
      </c>
      <c r="AI248" s="1" t="s">
        <v>187</v>
      </c>
      <c r="AJ248" s="1">
        <v>2019</v>
      </c>
      <c r="AK248" s="1" t="s">
        <v>49</v>
      </c>
      <c r="AL248" s="1">
        <v>38</v>
      </c>
    </row>
    <row r="249" spans="1:38" x14ac:dyDescent="0.2">
      <c r="A249" s="2" t="str">
        <f>HYPERLINK("https://www.compass.com/listing/350-west-71st-street-unit-2c-manhattan-ny-10023/406379420368902449/","350 W 71st St, Unit 2C")</f>
        <v>350 W 71st St, Unit 2C</v>
      </c>
      <c r="B249" s="2" t="str">
        <f t="shared" si="35"/>
        <v>350 West 71st Street</v>
      </c>
      <c r="C249" s="1" t="s">
        <v>78</v>
      </c>
      <c r="D249" s="1" t="s">
        <v>41</v>
      </c>
      <c r="E249" s="3">
        <v>2195000</v>
      </c>
      <c r="F249" s="1">
        <v>1474.14372061786</v>
      </c>
      <c r="G249" s="1">
        <v>5</v>
      </c>
      <c r="H249" s="1">
        <v>3</v>
      </c>
      <c r="I249" s="1">
        <v>2</v>
      </c>
      <c r="J249" s="1">
        <v>2</v>
      </c>
      <c r="K249" s="1">
        <v>2</v>
      </c>
      <c r="M249" s="4">
        <v>1489</v>
      </c>
      <c r="N249" s="1">
        <v>1526</v>
      </c>
      <c r="O249" s="1">
        <v>2652</v>
      </c>
      <c r="P249" s="1">
        <v>1126</v>
      </c>
      <c r="S249" s="1" t="s">
        <v>42</v>
      </c>
      <c r="T249" s="1" t="s">
        <v>153</v>
      </c>
      <c r="U249" s="1">
        <v>329</v>
      </c>
      <c r="V249" s="5">
        <v>44299</v>
      </c>
      <c r="W249" s="5">
        <v>43813</v>
      </c>
      <c r="X249" s="1">
        <v>2400000</v>
      </c>
      <c r="Y249" s="1">
        <v>2400000</v>
      </c>
      <c r="Z249" s="5">
        <v>44236</v>
      </c>
      <c r="AA249" s="1">
        <v>2195000</v>
      </c>
      <c r="AB249" s="1" t="s">
        <v>177</v>
      </c>
      <c r="AC249" s="5">
        <v>44299</v>
      </c>
      <c r="AF249" s="1">
        <v>10023</v>
      </c>
      <c r="AI249" s="1" t="s">
        <v>187</v>
      </c>
      <c r="AJ249" s="1">
        <v>2019</v>
      </c>
      <c r="AK249" s="1" t="s">
        <v>49</v>
      </c>
      <c r="AL249" s="1">
        <v>38</v>
      </c>
    </row>
    <row r="250" spans="1:38" x14ac:dyDescent="0.2">
      <c r="A250" s="2" t="str">
        <f>HYPERLINK("https://www.compass.com/listing/350-west-71st-street-unit-3f-manhattan-ny-10023/296873205264570209/","350 W 71st St, Unit 3F")</f>
        <v>350 W 71st St, Unit 3F</v>
      </c>
      <c r="B250" s="2" t="str">
        <f t="shared" si="35"/>
        <v>350 West 71st Street</v>
      </c>
      <c r="C250" s="1" t="s">
        <v>78</v>
      </c>
      <c r="D250" s="1" t="s">
        <v>41</v>
      </c>
      <c r="E250" s="3">
        <v>1710000</v>
      </c>
      <c r="F250" s="1">
        <v>1480.5194805194801</v>
      </c>
      <c r="G250" s="1">
        <v>4</v>
      </c>
      <c r="H250" s="1">
        <v>2</v>
      </c>
      <c r="I250" s="1">
        <v>2</v>
      </c>
      <c r="J250" s="1">
        <v>2</v>
      </c>
      <c r="K250" s="1">
        <v>2</v>
      </c>
      <c r="M250" s="4">
        <v>1155</v>
      </c>
      <c r="N250" s="1">
        <v>1183</v>
      </c>
      <c r="O250" s="1">
        <v>2723</v>
      </c>
      <c r="P250" s="1">
        <v>1540</v>
      </c>
      <c r="Q250" s="1" t="s">
        <v>42</v>
      </c>
      <c r="S250" s="1" t="s">
        <v>42</v>
      </c>
      <c r="T250" s="1" t="s">
        <v>153</v>
      </c>
      <c r="U250" s="1">
        <v>123</v>
      </c>
      <c r="V250" s="5">
        <v>43862</v>
      </c>
      <c r="W250" s="5">
        <v>43661</v>
      </c>
      <c r="X250" s="1">
        <v>1775000</v>
      </c>
      <c r="Y250" s="1">
        <v>1775000</v>
      </c>
      <c r="Z250" s="5">
        <v>43785</v>
      </c>
      <c r="AA250" s="1">
        <v>1710000</v>
      </c>
      <c r="AB250" s="1" t="s">
        <v>190</v>
      </c>
      <c r="AC250" s="5">
        <v>43861</v>
      </c>
      <c r="AF250" s="1">
        <v>10023</v>
      </c>
      <c r="AI250" s="1" t="s">
        <v>187</v>
      </c>
      <c r="AJ250" s="1">
        <v>2019</v>
      </c>
      <c r="AK250" s="1" t="s">
        <v>49</v>
      </c>
      <c r="AL250" s="1">
        <v>38</v>
      </c>
    </row>
    <row r="251" spans="1:38" x14ac:dyDescent="0.2">
      <c r="A251" s="2" t="str">
        <f>HYPERLINK("https://www.compass.com/listing/350-west-71st-street-unit-6a-manhattan-ny-10023/296878051656894449/","350 W 71st St, Unit 6A")</f>
        <v>350 W 71st St, Unit 6A</v>
      </c>
      <c r="B251" s="2" t="str">
        <f t="shared" si="35"/>
        <v>350 West 71st Street</v>
      </c>
      <c r="C251" s="1" t="s">
        <v>78</v>
      </c>
      <c r="D251" s="1" t="s">
        <v>41</v>
      </c>
      <c r="E251" s="3">
        <v>1875000</v>
      </c>
      <c r="F251" s="1">
        <v>1875</v>
      </c>
      <c r="G251" s="1">
        <v>4</v>
      </c>
      <c r="H251" s="1">
        <v>2</v>
      </c>
      <c r="I251" s="1">
        <v>2</v>
      </c>
      <c r="J251" s="1">
        <v>2</v>
      </c>
      <c r="K251" s="1">
        <v>2</v>
      </c>
      <c r="M251" s="4">
        <v>1000</v>
      </c>
      <c r="N251" s="1">
        <v>1024</v>
      </c>
      <c r="O251" s="1">
        <v>2358</v>
      </c>
      <c r="P251" s="1">
        <v>1334</v>
      </c>
      <c r="S251" s="1" t="s">
        <v>42</v>
      </c>
      <c r="T251" s="1" t="s">
        <v>153</v>
      </c>
      <c r="U251" s="1">
        <v>314</v>
      </c>
      <c r="V251" s="5">
        <v>44100</v>
      </c>
      <c r="W251" s="5">
        <v>43661</v>
      </c>
      <c r="X251" s="1">
        <v>1920000</v>
      </c>
      <c r="Y251" s="1">
        <v>1920000</v>
      </c>
      <c r="Z251" s="5">
        <v>44070</v>
      </c>
      <c r="AA251" s="1">
        <v>1875000</v>
      </c>
      <c r="AB251" s="1" t="s">
        <v>177</v>
      </c>
      <c r="AC251" s="5">
        <v>44100</v>
      </c>
      <c r="AF251" s="1">
        <v>10023</v>
      </c>
      <c r="AI251" s="1" t="s">
        <v>107</v>
      </c>
      <c r="AJ251" s="1">
        <v>2019</v>
      </c>
      <c r="AK251" s="1" t="s">
        <v>49</v>
      </c>
      <c r="AL251" s="1">
        <v>38</v>
      </c>
    </row>
    <row r="252" spans="1:38" x14ac:dyDescent="0.2">
      <c r="A252" s="2" t="str">
        <f>HYPERLINK("https://www.compass.com/listing/350-west-71st-street-unit-3a-manhattan-ny-10023/296880864499763409/","350 W 71st St, Unit 3A")</f>
        <v>350 W 71st St, Unit 3A</v>
      </c>
      <c r="B252" s="2" t="str">
        <f t="shared" si="35"/>
        <v>350 West 71st Street</v>
      </c>
      <c r="C252" s="1" t="s">
        <v>78</v>
      </c>
      <c r="D252" s="1" t="s">
        <v>41</v>
      </c>
      <c r="E252" s="3">
        <v>1815000</v>
      </c>
      <c r="F252" s="1">
        <v>1815</v>
      </c>
      <c r="G252" s="1">
        <v>4</v>
      </c>
      <c r="H252" s="1">
        <v>2</v>
      </c>
      <c r="I252" s="1">
        <v>2</v>
      </c>
      <c r="J252" s="1">
        <v>2</v>
      </c>
      <c r="K252" s="1">
        <v>2</v>
      </c>
      <c r="M252" s="4">
        <v>1000</v>
      </c>
      <c r="N252" s="1">
        <v>1024</v>
      </c>
      <c r="O252" s="1">
        <v>2358</v>
      </c>
      <c r="P252" s="1">
        <v>1334</v>
      </c>
      <c r="S252" s="1" t="s">
        <v>42</v>
      </c>
      <c r="T252" s="1" t="s">
        <v>153</v>
      </c>
      <c r="V252" s="5">
        <v>43837</v>
      </c>
      <c r="W252" s="5">
        <v>43661</v>
      </c>
      <c r="X252" s="1">
        <v>1815000</v>
      </c>
      <c r="Y252" s="1">
        <v>1815000</v>
      </c>
      <c r="Z252" s="5">
        <v>43661</v>
      </c>
      <c r="AA252" s="1">
        <v>1815000</v>
      </c>
      <c r="AB252" s="1" t="s">
        <v>177</v>
      </c>
      <c r="AC252" s="5">
        <v>43837</v>
      </c>
      <c r="AF252" s="1">
        <v>10023</v>
      </c>
      <c r="AI252" s="1" t="s">
        <v>107</v>
      </c>
      <c r="AJ252" s="1">
        <v>2019</v>
      </c>
      <c r="AK252" s="1" t="s">
        <v>49</v>
      </c>
      <c r="AL252" s="1">
        <v>38</v>
      </c>
    </row>
    <row r="253" spans="1:38" x14ac:dyDescent="0.2">
      <c r="A253" s="2" t="str">
        <f>HYPERLINK("https://www.compass.com/listing/350-west-71st-street-unit-4a-manhattan-ny-10023/296885513332356385/","350 W 71st St, Unit 4A")</f>
        <v>350 W 71st St, Unit 4A</v>
      </c>
      <c r="B253" s="2" t="str">
        <f t="shared" si="35"/>
        <v>350 West 71st Street</v>
      </c>
      <c r="C253" s="1" t="s">
        <v>78</v>
      </c>
      <c r="D253" s="1" t="s">
        <v>41</v>
      </c>
      <c r="E253" s="3">
        <v>1870000</v>
      </c>
      <c r="F253" s="1">
        <v>1870</v>
      </c>
      <c r="G253" s="1">
        <v>4</v>
      </c>
      <c r="H253" s="1">
        <v>2</v>
      </c>
      <c r="I253" s="1">
        <v>2</v>
      </c>
      <c r="J253" s="1">
        <v>2</v>
      </c>
      <c r="K253" s="1">
        <v>2</v>
      </c>
      <c r="M253" s="4">
        <v>1000</v>
      </c>
      <c r="N253" s="1">
        <v>1024</v>
      </c>
      <c r="O253" s="1">
        <v>2358</v>
      </c>
      <c r="P253" s="1">
        <v>1334</v>
      </c>
      <c r="S253" s="1" t="s">
        <v>42</v>
      </c>
      <c r="T253" s="1" t="s">
        <v>153</v>
      </c>
      <c r="V253" s="5">
        <v>43839</v>
      </c>
      <c r="W253" s="5">
        <v>43661</v>
      </c>
      <c r="X253" s="1">
        <v>1870000</v>
      </c>
      <c r="Y253" s="1">
        <v>1870000</v>
      </c>
      <c r="Z253" s="5">
        <v>43661</v>
      </c>
      <c r="AA253" s="1">
        <v>1870000</v>
      </c>
      <c r="AB253" s="1" t="s">
        <v>177</v>
      </c>
      <c r="AC253" s="5">
        <v>43833</v>
      </c>
      <c r="AF253" s="1">
        <v>10023</v>
      </c>
      <c r="AI253" s="1" t="s">
        <v>107</v>
      </c>
      <c r="AJ253" s="1">
        <v>2019</v>
      </c>
      <c r="AK253" s="1" t="s">
        <v>49</v>
      </c>
      <c r="AL253" s="1">
        <v>38</v>
      </c>
    </row>
    <row r="254" spans="1:38" x14ac:dyDescent="0.2">
      <c r="A254" s="2" t="str">
        <f>HYPERLINK("https://www.compass.com/listing/350-west-71st-street-unit-4f-manhattan-ny-10023/296887255293778513/","350 W 71st St, Unit 4F")</f>
        <v>350 W 71st St, Unit 4F</v>
      </c>
      <c r="B254" s="2" t="str">
        <f t="shared" si="35"/>
        <v>350 West 71st Street</v>
      </c>
      <c r="C254" s="1" t="s">
        <v>78</v>
      </c>
      <c r="D254" s="1" t="s">
        <v>41</v>
      </c>
      <c r="E254" s="3">
        <v>1807394</v>
      </c>
      <c r="F254" s="1">
        <v>1564.8430735930699</v>
      </c>
      <c r="G254" s="1">
        <v>4</v>
      </c>
      <c r="H254" s="1">
        <v>2</v>
      </c>
      <c r="I254" s="1">
        <v>2</v>
      </c>
      <c r="J254" s="1">
        <v>2</v>
      </c>
      <c r="K254" s="1">
        <v>2</v>
      </c>
      <c r="M254" s="4">
        <v>1155</v>
      </c>
      <c r="N254" s="1">
        <v>1183</v>
      </c>
      <c r="O254" s="1">
        <v>2723</v>
      </c>
      <c r="P254" s="1">
        <v>1540</v>
      </c>
      <c r="Q254" s="1" t="s">
        <v>42</v>
      </c>
      <c r="S254" s="1" t="s">
        <v>42</v>
      </c>
      <c r="T254" s="1" t="s">
        <v>153</v>
      </c>
      <c r="V254" s="5">
        <v>43840</v>
      </c>
      <c r="W254" s="5">
        <v>43661</v>
      </c>
      <c r="X254" s="1">
        <v>1795000</v>
      </c>
      <c r="Y254" s="1">
        <v>1795000</v>
      </c>
      <c r="Z254" s="5">
        <v>43661</v>
      </c>
      <c r="AA254" s="1">
        <v>1807393.75</v>
      </c>
      <c r="AB254" s="1" t="s">
        <v>191</v>
      </c>
      <c r="AC254" s="5">
        <v>43839</v>
      </c>
      <c r="AF254" s="1">
        <v>10023</v>
      </c>
      <c r="AI254" s="1" t="s">
        <v>107</v>
      </c>
      <c r="AJ254" s="1">
        <v>2019</v>
      </c>
      <c r="AK254" s="1" t="s">
        <v>49</v>
      </c>
      <c r="AL254" s="1">
        <v>38</v>
      </c>
    </row>
    <row r="255" spans="1:38" x14ac:dyDescent="0.2">
      <c r="A255" s="2" t="str">
        <f>HYPERLINK("https://www.compass.com/listing/350-west-71st-street-unit-5a-manhattan-ny-10023/296888037070101169/","350 W 71st St, Unit 5A")</f>
        <v>350 W 71st St, Unit 5A</v>
      </c>
      <c r="B255" s="2" t="str">
        <f t="shared" si="35"/>
        <v>350 West 71st Street</v>
      </c>
      <c r="C255" s="1" t="s">
        <v>78</v>
      </c>
      <c r="D255" s="1" t="s">
        <v>41</v>
      </c>
      <c r="E255" s="3">
        <v>1895000</v>
      </c>
      <c r="F255" s="1">
        <v>1895</v>
      </c>
      <c r="G255" s="1">
        <v>4</v>
      </c>
      <c r="H255" s="1">
        <v>2</v>
      </c>
      <c r="I255" s="1">
        <v>2</v>
      </c>
      <c r="J255" s="1">
        <v>2</v>
      </c>
      <c r="K255" s="1">
        <v>2</v>
      </c>
      <c r="M255" s="4">
        <v>1000</v>
      </c>
      <c r="N255" s="1">
        <v>1024</v>
      </c>
      <c r="O255" s="1">
        <v>2358</v>
      </c>
      <c r="P255" s="1">
        <v>1334</v>
      </c>
      <c r="S255" s="1" t="s">
        <v>42</v>
      </c>
      <c r="T255" s="1" t="s">
        <v>153</v>
      </c>
      <c r="V255" s="5">
        <v>43855</v>
      </c>
      <c r="W255" s="5">
        <v>43661</v>
      </c>
      <c r="X255" s="1">
        <v>1895000</v>
      </c>
      <c r="Y255" s="1">
        <v>1895000</v>
      </c>
      <c r="Z255" s="5">
        <v>43661</v>
      </c>
      <c r="AA255" s="1">
        <v>1895000</v>
      </c>
      <c r="AB255" s="1" t="s">
        <v>177</v>
      </c>
      <c r="AC255" s="5">
        <v>43855</v>
      </c>
      <c r="AF255" s="1">
        <v>10023</v>
      </c>
      <c r="AI255" s="1" t="s">
        <v>107</v>
      </c>
      <c r="AJ255" s="1">
        <v>2019</v>
      </c>
      <c r="AK255" s="1" t="s">
        <v>49</v>
      </c>
      <c r="AL255" s="1">
        <v>38</v>
      </c>
    </row>
    <row r="256" spans="1:38" x14ac:dyDescent="0.2">
      <c r="A256" s="2" t="str">
        <f>HYPERLINK("https://www.compass.com/listing/350-west-71st-street-unit-5f-manhattan-ny-10023/296892127858679073/","350 W 71st St, Unit 5F")</f>
        <v>350 W 71st St, Unit 5F</v>
      </c>
      <c r="B256" s="2" t="str">
        <f t="shared" si="35"/>
        <v>350 West 71st Street</v>
      </c>
      <c r="C256" s="1" t="s">
        <v>78</v>
      </c>
      <c r="D256" s="1" t="s">
        <v>41</v>
      </c>
      <c r="E256" s="3">
        <v>1817576</v>
      </c>
      <c r="F256" s="1">
        <v>1573.6590909090901</v>
      </c>
      <c r="G256" s="1">
        <v>4</v>
      </c>
      <c r="H256" s="1">
        <v>2</v>
      </c>
      <c r="I256" s="1">
        <v>2</v>
      </c>
      <c r="J256" s="1">
        <v>2</v>
      </c>
      <c r="K256" s="1">
        <v>2</v>
      </c>
      <c r="M256" s="4">
        <v>1155</v>
      </c>
      <c r="N256" s="1">
        <v>1183</v>
      </c>
      <c r="O256" s="1">
        <v>2723</v>
      </c>
      <c r="P256" s="1">
        <v>1540</v>
      </c>
      <c r="Q256" s="1" t="s">
        <v>42</v>
      </c>
      <c r="S256" s="1" t="s">
        <v>42</v>
      </c>
      <c r="T256" s="1" t="s">
        <v>153</v>
      </c>
      <c r="V256" s="5">
        <v>43818</v>
      </c>
      <c r="W256" s="5">
        <v>43661</v>
      </c>
      <c r="X256" s="1">
        <v>1805000</v>
      </c>
      <c r="Y256" s="1">
        <v>1805000</v>
      </c>
      <c r="Z256" s="5">
        <v>43661</v>
      </c>
      <c r="AA256" s="1">
        <v>1817576.25</v>
      </c>
      <c r="AB256" s="1" t="s">
        <v>192</v>
      </c>
      <c r="AC256" s="5">
        <v>43816</v>
      </c>
      <c r="AF256" s="1">
        <v>10023</v>
      </c>
      <c r="AI256" s="1" t="s">
        <v>107</v>
      </c>
      <c r="AJ256" s="1">
        <v>2019</v>
      </c>
      <c r="AK256" s="1" t="s">
        <v>49</v>
      </c>
      <c r="AL256" s="1">
        <v>38</v>
      </c>
    </row>
    <row r="257" spans="1:38" x14ac:dyDescent="0.2">
      <c r="A257" s="2" t="str">
        <f>HYPERLINK("https://www.compass.com/listing/350-west-71st-street-unit-6f-manhattan-ny-10023/296894696333146497/","350 W 71st St, Unit 6F")</f>
        <v>350 W 71st St, Unit 6F</v>
      </c>
      <c r="B257" s="2" t="str">
        <f t="shared" si="35"/>
        <v>350 West 71st Street</v>
      </c>
      <c r="C257" s="1" t="s">
        <v>78</v>
      </c>
      <c r="D257" s="1" t="s">
        <v>41</v>
      </c>
      <c r="E257" s="3">
        <v>1860000</v>
      </c>
      <c r="F257" s="1">
        <v>1610.38961038961</v>
      </c>
      <c r="G257" s="1">
        <v>4</v>
      </c>
      <c r="H257" s="1">
        <v>2</v>
      </c>
      <c r="I257" s="1">
        <v>2</v>
      </c>
      <c r="J257" s="1">
        <v>2</v>
      </c>
      <c r="K257" s="1">
        <v>2</v>
      </c>
      <c r="M257" s="4">
        <v>1155</v>
      </c>
      <c r="N257" s="1">
        <v>1183</v>
      </c>
      <c r="O257" s="1">
        <v>2723</v>
      </c>
      <c r="P257" s="1">
        <v>1540</v>
      </c>
      <c r="Q257" s="1" t="s">
        <v>42</v>
      </c>
      <c r="S257" s="1" t="s">
        <v>42</v>
      </c>
      <c r="T257" s="1" t="s">
        <v>153</v>
      </c>
      <c r="V257" s="5">
        <v>43820</v>
      </c>
      <c r="W257" s="5">
        <v>43661</v>
      </c>
      <c r="X257" s="1">
        <v>1875000</v>
      </c>
      <c r="Y257" s="1">
        <v>1875000</v>
      </c>
      <c r="Z257" s="5">
        <v>43661</v>
      </c>
      <c r="AA257" s="1">
        <v>1860000</v>
      </c>
      <c r="AB257" s="1" t="s">
        <v>193</v>
      </c>
      <c r="AC257" s="5">
        <v>43819</v>
      </c>
      <c r="AF257" s="1">
        <v>10023</v>
      </c>
      <c r="AI257" s="1" t="s">
        <v>107</v>
      </c>
      <c r="AJ257" s="1">
        <v>2019</v>
      </c>
      <c r="AK257" s="1" t="s">
        <v>49</v>
      </c>
      <c r="AL257" s="1">
        <v>38</v>
      </c>
    </row>
    <row r="258" spans="1:38" x14ac:dyDescent="0.2">
      <c r="A258" s="2" t="str">
        <f>HYPERLINK("https://www.compass.com/listing/350-west-71st-street-unit-2f-manhattan-ny-10023/386223574301686721/","350 W 71st St, Unit 2F")</f>
        <v>350 W 71st St, Unit 2F</v>
      </c>
      <c r="B258" s="2" t="str">
        <f t="shared" si="35"/>
        <v>350 West 71st Street</v>
      </c>
      <c r="C258" s="1" t="s">
        <v>78</v>
      </c>
      <c r="D258" s="1" t="s">
        <v>41</v>
      </c>
      <c r="E258" s="3">
        <v>1695000</v>
      </c>
      <c r="F258" s="1">
        <v>1467.53246753246</v>
      </c>
      <c r="G258" s="1">
        <v>2</v>
      </c>
      <c r="H258" s="1">
        <v>2</v>
      </c>
      <c r="I258" s="1">
        <v>2</v>
      </c>
      <c r="J258" s="1">
        <v>2</v>
      </c>
      <c r="K258" s="1">
        <v>2</v>
      </c>
      <c r="M258" s="4">
        <v>1155</v>
      </c>
      <c r="N258" s="1">
        <v>1183</v>
      </c>
      <c r="O258" s="1">
        <v>2723</v>
      </c>
      <c r="P258" s="1">
        <v>1540</v>
      </c>
      <c r="Q258" s="1" t="s">
        <v>42</v>
      </c>
      <c r="S258" s="1" t="s">
        <v>42</v>
      </c>
      <c r="T258" s="1" t="s">
        <v>153</v>
      </c>
      <c r="U258" s="1">
        <v>148</v>
      </c>
      <c r="V258" s="5">
        <v>44099</v>
      </c>
      <c r="W258" s="5">
        <v>43785</v>
      </c>
      <c r="X258" s="1">
        <v>1745000</v>
      </c>
      <c r="Y258" s="1">
        <v>1745000</v>
      </c>
      <c r="Z258" s="5">
        <v>44027</v>
      </c>
      <c r="AA258" s="1">
        <v>1695000</v>
      </c>
      <c r="AB258" s="1" t="s">
        <v>194</v>
      </c>
      <c r="AC258" s="5">
        <v>44098</v>
      </c>
      <c r="AF258" s="1">
        <v>10023</v>
      </c>
      <c r="AI258" s="1" t="s">
        <v>187</v>
      </c>
      <c r="AJ258" s="1">
        <v>2019</v>
      </c>
      <c r="AK258" s="1" t="s">
        <v>49</v>
      </c>
      <c r="AL258" s="1">
        <v>38</v>
      </c>
    </row>
    <row r="259" spans="1:38" x14ac:dyDescent="0.2">
      <c r="A259" s="2" t="str">
        <f>HYPERLINK("https://www.compass.com/listing/350-west-71st-street-unit-5d-manhattan-ny-10023/296891503729466625/","350 W 71st St, Unit 5D")</f>
        <v>350 W 71st St, Unit 5D</v>
      </c>
      <c r="B259" s="2" t="str">
        <f t="shared" si="35"/>
        <v>350 West 71st Street</v>
      </c>
      <c r="C259" s="1" t="s">
        <v>78</v>
      </c>
      <c r="D259" s="1" t="s">
        <v>41</v>
      </c>
      <c r="E259" s="3">
        <v>1950000</v>
      </c>
      <c r="F259" s="1">
        <v>1926.8774703557301</v>
      </c>
      <c r="G259" s="1">
        <v>4</v>
      </c>
      <c r="H259" s="1">
        <v>2</v>
      </c>
      <c r="I259" s="1">
        <v>2</v>
      </c>
      <c r="J259" s="1">
        <v>2</v>
      </c>
      <c r="K259" s="1">
        <v>2</v>
      </c>
      <c r="M259" s="4">
        <v>1012</v>
      </c>
      <c r="N259" s="1">
        <v>1037</v>
      </c>
      <c r="O259" s="1">
        <v>2387</v>
      </c>
      <c r="P259" s="1">
        <v>1350</v>
      </c>
      <c r="Q259" s="1" t="s">
        <v>42</v>
      </c>
      <c r="S259" s="1" t="s">
        <v>42</v>
      </c>
      <c r="T259" s="1" t="s">
        <v>153</v>
      </c>
      <c r="V259" s="5">
        <v>43806</v>
      </c>
      <c r="W259" s="5">
        <v>43661</v>
      </c>
      <c r="X259" s="1">
        <v>1975000</v>
      </c>
      <c r="Y259" s="1">
        <v>1975000</v>
      </c>
      <c r="Z259" s="5">
        <v>43661</v>
      </c>
      <c r="AA259" s="1">
        <v>1950000</v>
      </c>
      <c r="AB259" s="1" t="s">
        <v>195</v>
      </c>
      <c r="AC259" s="5">
        <v>43805</v>
      </c>
      <c r="AF259" s="1">
        <v>10023</v>
      </c>
      <c r="AI259" s="1" t="s">
        <v>107</v>
      </c>
      <c r="AJ259" s="1">
        <v>2019</v>
      </c>
      <c r="AK259" s="1" t="s">
        <v>49</v>
      </c>
      <c r="AL259" s="1">
        <v>38</v>
      </c>
    </row>
    <row r="260" spans="1:38" x14ac:dyDescent="0.2">
      <c r="A260" s="2" t="str">
        <f>HYPERLINK("https://www.compass.com/listing/350-west-71st-street-unit-6d-manhattan-ny-10023/296894155133455745/","350 W 71st St, Unit 6D")</f>
        <v>350 W 71st St, Unit 6D</v>
      </c>
      <c r="B260" s="2" t="str">
        <f t="shared" si="35"/>
        <v>350 West 71st Street</v>
      </c>
      <c r="C260" s="1" t="s">
        <v>78</v>
      </c>
      <c r="D260" s="1" t="s">
        <v>41</v>
      </c>
      <c r="E260" s="3">
        <v>2000861</v>
      </c>
      <c r="F260" s="1">
        <v>1977.1356225296399</v>
      </c>
      <c r="G260" s="1">
        <v>4</v>
      </c>
      <c r="H260" s="1">
        <v>2</v>
      </c>
      <c r="I260" s="1">
        <v>2</v>
      </c>
      <c r="J260" s="1">
        <v>2</v>
      </c>
      <c r="K260" s="1">
        <v>2</v>
      </c>
      <c r="M260" s="4">
        <v>1012</v>
      </c>
      <c r="N260" s="1">
        <v>1037</v>
      </c>
      <c r="O260" s="1">
        <v>2387</v>
      </c>
      <c r="P260" s="1">
        <v>1350</v>
      </c>
      <c r="Q260" s="1" t="s">
        <v>42</v>
      </c>
      <c r="S260" s="1" t="s">
        <v>42</v>
      </c>
      <c r="T260" s="1" t="s">
        <v>153</v>
      </c>
      <c r="V260" s="5">
        <v>43839</v>
      </c>
      <c r="W260" s="5">
        <v>43661</v>
      </c>
      <c r="X260" s="1">
        <v>1995000</v>
      </c>
      <c r="Y260" s="1">
        <v>1995000</v>
      </c>
      <c r="Z260" s="5">
        <v>43661</v>
      </c>
      <c r="AA260" s="1">
        <v>2000861.25</v>
      </c>
      <c r="AB260" s="1" t="s">
        <v>196</v>
      </c>
      <c r="AC260" s="5">
        <v>43838</v>
      </c>
      <c r="AF260" s="1">
        <v>10023</v>
      </c>
      <c r="AI260" s="1" t="s">
        <v>107</v>
      </c>
      <c r="AJ260" s="1">
        <v>2019</v>
      </c>
      <c r="AK260" s="1" t="s">
        <v>49</v>
      </c>
      <c r="AL260" s="1">
        <v>38</v>
      </c>
    </row>
    <row r="261" spans="1:38" x14ac:dyDescent="0.2">
      <c r="A261" s="2" t="str">
        <f>HYPERLINK("https://www.compass.com/listing/350-west-71st-street-unit-3c-manhattan-ny-10023/296865314251900353/","350 W 71st St, Unit 3C")</f>
        <v>350 W 71st St, Unit 3C</v>
      </c>
      <c r="B261" s="2" t="str">
        <f t="shared" si="35"/>
        <v>350 West 71st Street</v>
      </c>
      <c r="C261" s="1" t="s">
        <v>78</v>
      </c>
      <c r="D261" s="1" t="s">
        <v>41</v>
      </c>
      <c r="E261" s="3">
        <v>2450000</v>
      </c>
      <c r="F261" s="1">
        <v>1645.3995970449901</v>
      </c>
      <c r="G261" s="1">
        <v>5</v>
      </c>
      <c r="H261" s="1">
        <v>3</v>
      </c>
      <c r="I261" s="1">
        <v>2</v>
      </c>
      <c r="J261" s="1">
        <v>2</v>
      </c>
      <c r="K261" s="1">
        <v>2</v>
      </c>
      <c r="M261" s="4">
        <v>1489</v>
      </c>
      <c r="N261" s="1">
        <v>1526</v>
      </c>
      <c r="O261" s="1">
        <v>3512</v>
      </c>
      <c r="P261" s="1">
        <v>1986</v>
      </c>
      <c r="S261" s="1" t="s">
        <v>42</v>
      </c>
      <c r="T261" s="1" t="s">
        <v>153</v>
      </c>
      <c r="U261" s="1">
        <v>150</v>
      </c>
      <c r="V261" s="5">
        <v>43865</v>
      </c>
      <c r="W261" s="5">
        <v>43661</v>
      </c>
      <c r="X261" s="1">
        <v>2450000</v>
      </c>
      <c r="Y261" s="1">
        <v>2450000</v>
      </c>
      <c r="Z261" s="5">
        <v>43812</v>
      </c>
      <c r="AA261" s="1">
        <v>2450000</v>
      </c>
      <c r="AB261" s="1" t="s">
        <v>177</v>
      </c>
      <c r="AC261" s="5">
        <v>43865</v>
      </c>
      <c r="AF261" s="1">
        <v>10023</v>
      </c>
      <c r="AI261" s="1" t="s">
        <v>107</v>
      </c>
      <c r="AJ261" s="1">
        <v>2019</v>
      </c>
      <c r="AK261" s="1" t="s">
        <v>49</v>
      </c>
      <c r="AL261" s="1">
        <v>38</v>
      </c>
    </row>
    <row r="262" spans="1:38" x14ac:dyDescent="0.2">
      <c r="A262" s="2" t="str">
        <f>HYPERLINK("https://www.compass.com/listing/350-west-71st-street-unit-4c-manhattan-ny-10023/296886103034583505/","350 W 71st St, Unit 4C")</f>
        <v>350 W 71st St, Unit 4C</v>
      </c>
      <c r="B262" s="2" t="str">
        <f t="shared" si="35"/>
        <v>350 West 71st Street</v>
      </c>
      <c r="C262" s="1" t="s">
        <v>78</v>
      </c>
      <c r="D262" s="1" t="s">
        <v>41</v>
      </c>
      <c r="E262" s="3">
        <v>2450000</v>
      </c>
      <c r="F262" s="1">
        <v>1645.3995970449901</v>
      </c>
      <c r="G262" s="1">
        <v>5</v>
      </c>
      <c r="H262" s="1">
        <v>3</v>
      </c>
      <c r="I262" s="1">
        <v>2</v>
      </c>
      <c r="J262" s="1">
        <v>2</v>
      </c>
      <c r="K262" s="1">
        <v>2</v>
      </c>
      <c r="M262" s="4">
        <v>1489</v>
      </c>
      <c r="N262" s="1">
        <v>1526</v>
      </c>
      <c r="O262" s="1">
        <v>3512</v>
      </c>
      <c r="P262" s="1">
        <v>1986</v>
      </c>
      <c r="S262" s="1" t="s">
        <v>42</v>
      </c>
      <c r="T262" s="1" t="s">
        <v>153</v>
      </c>
      <c r="V262" s="5">
        <v>43823</v>
      </c>
      <c r="W262" s="5">
        <v>43661</v>
      </c>
      <c r="X262" s="1">
        <v>2450000</v>
      </c>
      <c r="Y262" s="1">
        <v>2450000</v>
      </c>
      <c r="Z262" s="5">
        <v>43661</v>
      </c>
      <c r="AA262" s="1">
        <v>2450000</v>
      </c>
      <c r="AB262" s="1" t="s">
        <v>177</v>
      </c>
      <c r="AC262" s="5">
        <v>43823</v>
      </c>
      <c r="AF262" s="1">
        <v>10023</v>
      </c>
      <c r="AI262" s="1" t="s">
        <v>107</v>
      </c>
      <c r="AJ262" s="1">
        <v>2019</v>
      </c>
      <c r="AK262" s="1" t="s">
        <v>49</v>
      </c>
      <c r="AL262" s="1">
        <v>38</v>
      </c>
    </row>
    <row r="263" spans="1:38" x14ac:dyDescent="0.2">
      <c r="A263" s="2" t="str">
        <f>HYPERLINK("https://www.compass.com/listing/350-west-71st-street-unit-5c-manhattan-ny-10023/350713816840947457/","350 W 71st St, Unit 5C")</f>
        <v>350 W 71st St, Unit 5C</v>
      </c>
      <c r="B263" s="2" t="str">
        <f t="shared" si="35"/>
        <v>350 West 71st Street</v>
      </c>
      <c r="C263" s="1" t="s">
        <v>78</v>
      </c>
      <c r="D263" s="1" t="s">
        <v>41</v>
      </c>
      <c r="E263" s="3">
        <v>2525000</v>
      </c>
      <c r="F263" s="1">
        <v>1695.76897246474</v>
      </c>
      <c r="G263" s="1">
        <v>5</v>
      </c>
      <c r="H263" s="1">
        <v>3</v>
      </c>
      <c r="I263" s="1">
        <v>2</v>
      </c>
      <c r="J263" s="1">
        <v>2</v>
      </c>
      <c r="K263" s="1">
        <v>2</v>
      </c>
      <c r="M263" s="4">
        <v>1489</v>
      </c>
      <c r="N263" s="1">
        <v>1526</v>
      </c>
      <c r="O263" s="1">
        <v>3512</v>
      </c>
      <c r="P263" s="1">
        <v>1986</v>
      </c>
      <c r="S263" s="1" t="s">
        <v>42</v>
      </c>
      <c r="T263" s="1" t="s">
        <v>153</v>
      </c>
      <c r="U263" s="1">
        <v>2</v>
      </c>
      <c r="V263" s="5">
        <v>43827</v>
      </c>
      <c r="W263" s="5">
        <v>43736</v>
      </c>
      <c r="X263" s="1">
        <v>2525000</v>
      </c>
      <c r="Y263" s="1">
        <v>2525000</v>
      </c>
      <c r="Z263" s="5">
        <v>43739</v>
      </c>
      <c r="AA263" s="1">
        <v>2525000</v>
      </c>
      <c r="AB263" s="1" t="s">
        <v>177</v>
      </c>
      <c r="AC263" s="5">
        <v>43827</v>
      </c>
      <c r="AF263" s="1">
        <v>10023</v>
      </c>
      <c r="AI263" s="1" t="s">
        <v>187</v>
      </c>
      <c r="AJ263" s="1">
        <v>2019</v>
      </c>
      <c r="AK263" s="1" t="s">
        <v>49</v>
      </c>
      <c r="AL263" s="1">
        <v>38</v>
      </c>
    </row>
    <row r="264" spans="1:38" x14ac:dyDescent="0.2">
      <c r="A264" s="2" t="str">
        <f>HYPERLINK("https://www.compass.com/listing/10-madison-square-west-unit-7d-manhattan-ny-10010/246295452406841905/","10 Madison Sq W, Unit 7D")</f>
        <v>10 Madison Sq W, Unit 7D</v>
      </c>
      <c r="B264" s="2" t="str">
        <f>HYPERLINK("https://www.compass.com/building/10-madison-square-west-manhattan-ny/294838725091521285/","10 Madison Square West")</f>
        <v>10 Madison Square West</v>
      </c>
      <c r="D264" s="1" t="s">
        <v>41</v>
      </c>
      <c r="E264" s="3">
        <v>4250000</v>
      </c>
      <c r="F264" s="1">
        <v>2514.7928994082799</v>
      </c>
      <c r="G264" s="1">
        <v>5</v>
      </c>
      <c r="H264" s="1">
        <v>2</v>
      </c>
      <c r="I264" s="1">
        <v>3</v>
      </c>
      <c r="J264" s="1">
        <v>2.5</v>
      </c>
      <c r="K264" s="1">
        <v>2</v>
      </c>
      <c r="L264" s="1">
        <v>1</v>
      </c>
      <c r="M264" s="4">
        <v>1690</v>
      </c>
      <c r="N264" s="1">
        <v>2122</v>
      </c>
      <c r="O264" s="1">
        <v>5467</v>
      </c>
      <c r="P264" s="1">
        <v>3345</v>
      </c>
      <c r="S264" s="1" t="s">
        <v>42</v>
      </c>
      <c r="T264" s="1" t="s">
        <v>153</v>
      </c>
      <c r="U264" s="1">
        <v>78</v>
      </c>
      <c r="V264" s="5">
        <v>43726</v>
      </c>
      <c r="W264" s="5">
        <v>43592</v>
      </c>
      <c r="X264" s="1">
        <v>4425000</v>
      </c>
      <c r="Y264" s="1">
        <v>4425000</v>
      </c>
      <c r="Z264" s="5">
        <v>43670</v>
      </c>
      <c r="AA264" s="1">
        <v>4250000</v>
      </c>
      <c r="AB264" s="1" t="s">
        <v>177</v>
      </c>
      <c r="AC264" s="5">
        <v>43726</v>
      </c>
      <c r="AF264" s="1">
        <v>10010</v>
      </c>
      <c r="AI264" s="1" t="s">
        <v>45</v>
      </c>
      <c r="AJ264" s="1">
        <v>1915</v>
      </c>
      <c r="AK264" s="1" t="s">
        <v>46</v>
      </c>
      <c r="AL264" s="1">
        <v>125</v>
      </c>
    </row>
    <row r="265" spans="1:38" x14ac:dyDescent="0.2">
      <c r="A265" s="2" t="str">
        <f>HYPERLINK("https://www.compass.com/listing/350-west-71st-street-unit-6c-manhattan-ny-10023/576849191346083881/","350 W 71st St, Unit 6C")</f>
        <v>350 W 71st St, Unit 6C</v>
      </c>
      <c r="B265" s="2" t="str">
        <f t="shared" ref="B265:B272" si="36">HYPERLINK("https://www.compass.com/building/350-west-71st-street-manhattan-ny/282058856064910533/","350 West 71st Street")</f>
        <v>350 West 71st Street</v>
      </c>
      <c r="C265" s="1" t="s">
        <v>78</v>
      </c>
      <c r="D265" s="1" t="s">
        <v>41</v>
      </c>
      <c r="E265" s="3">
        <v>2600000</v>
      </c>
      <c r="F265" s="1">
        <v>1746.13834788448</v>
      </c>
      <c r="G265" s="1">
        <v>5</v>
      </c>
      <c r="H265" s="1">
        <v>3</v>
      </c>
      <c r="I265" s="1">
        <v>2</v>
      </c>
      <c r="J265" s="1">
        <v>2</v>
      </c>
      <c r="K265" s="1">
        <v>2</v>
      </c>
      <c r="M265" s="4">
        <v>1489</v>
      </c>
      <c r="N265" s="1">
        <v>1526</v>
      </c>
      <c r="O265" s="1">
        <v>3512</v>
      </c>
      <c r="P265" s="1">
        <v>1986</v>
      </c>
      <c r="S265" s="1" t="s">
        <v>42</v>
      </c>
      <c r="T265" s="1" t="s">
        <v>153</v>
      </c>
      <c r="V265" s="5">
        <v>44112</v>
      </c>
      <c r="W265" s="5">
        <v>44048</v>
      </c>
      <c r="X265" s="1">
        <v>2600000</v>
      </c>
      <c r="Y265" s="1">
        <v>2600000</v>
      </c>
      <c r="Z265" s="5">
        <v>44048</v>
      </c>
      <c r="AA265" s="1">
        <v>2600000</v>
      </c>
      <c r="AB265" s="1" t="s">
        <v>177</v>
      </c>
      <c r="AC265" s="5">
        <v>44112</v>
      </c>
      <c r="AF265" s="1">
        <v>10023</v>
      </c>
      <c r="AI265" s="1" t="s">
        <v>187</v>
      </c>
      <c r="AJ265" s="1">
        <v>2019</v>
      </c>
      <c r="AK265" s="1" t="s">
        <v>49</v>
      </c>
      <c r="AL265" s="1">
        <v>38</v>
      </c>
    </row>
    <row r="266" spans="1:38" x14ac:dyDescent="0.2">
      <c r="A266" s="2" t="str">
        <f>HYPERLINK("https://www.compass.com/listing/350-w-71st-st-unit-garden-b-manhattan-ny-10023/296898053848332769/","350 W 71st St, Unit GARDEN B")</f>
        <v>350 W 71st St, Unit GARDEN B</v>
      </c>
      <c r="B266" s="2" t="str">
        <f t="shared" si="36"/>
        <v>350 West 71st Street</v>
      </c>
      <c r="C266" s="1" t="s">
        <v>78</v>
      </c>
      <c r="D266" s="1" t="s">
        <v>41</v>
      </c>
      <c r="E266" s="3">
        <v>1995000</v>
      </c>
      <c r="F266" s="1">
        <v>1087.19346049046</v>
      </c>
      <c r="G266" s="1">
        <v>5</v>
      </c>
      <c r="H266" s="1">
        <v>2</v>
      </c>
      <c r="I266" s="1">
        <v>3</v>
      </c>
      <c r="J266" s="1">
        <v>2.5</v>
      </c>
      <c r="K266" s="1">
        <v>2</v>
      </c>
      <c r="L266" s="1">
        <v>1</v>
      </c>
      <c r="M266" s="4">
        <v>1835</v>
      </c>
      <c r="N266" s="1">
        <v>1477</v>
      </c>
      <c r="O266" s="1">
        <v>3400</v>
      </c>
      <c r="P266" s="1">
        <v>1923</v>
      </c>
      <c r="S266" s="1" t="s">
        <v>42</v>
      </c>
      <c r="T266" s="1" t="s">
        <v>153</v>
      </c>
      <c r="V266" s="5">
        <v>43846</v>
      </c>
      <c r="W266" s="5">
        <v>43661</v>
      </c>
      <c r="X266" s="1">
        <v>1995000</v>
      </c>
      <c r="Y266" s="1">
        <v>1995000</v>
      </c>
      <c r="Z266" s="5">
        <v>43661</v>
      </c>
      <c r="AA266" s="1">
        <v>1995000</v>
      </c>
      <c r="AB266" s="1" t="s">
        <v>177</v>
      </c>
      <c r="AC266" s="5">
        <v>43830</v>
      </c>
      <c r="AF266" s="1">
        <v>10023</v>
      </c>
      <c r="AI266" s="1" t="s">
        <v>197</v>
      </c>
      <c r="AJ266" s="1">
        <v>2019</v>
      </c>
      <c r="AK266" s="1" t="s">
        <v>49</v>
      </c>
      <c r="AL266" s="1">
        <v>38</v>
      </c>
    </row>
    <row r="267" spans="1:38" x14ac:dyDescent="0.2">
      <c r="A267" s="2" t="str">
        <f>HYPERLINK("https://www.compass.com/listing/350-west-71st-street-unit-2e-manhattan-ny-10023/355740984994184337/","350 W 71st St, Unit 2E")</f>
        <v>350 W 71st St, Unit 2E</v>
      </c>
      <c r="B267" s="2" t="str">
        <f t="shared" si="36"/>
        <v>350 West 71st Street</v>
      </c>
      <c r="C267" s="1" t="s">
        <v>78</v>
      </c>
      <c r="D267" s="1" t="s">
        <v>41</v>
      </c>
      <c r="E267" s="3">
        <v>2850000</v>
      </c>
      <c r="F267" s="1">
        <v>1710.6842737094801</v>
      </c>
      <c r="G267" s="1">
        <v>5</v>
      </c>
      <c r="H267" s="1">
        <v>3</v>
      </c>
      <c r="I267" s="1">
        <v>3</v>
      </c>
      <c r="J267" s="1">
        <v>2.5</v>
      </c>
      <c r="K267" s="1">
        <v>2</v>
      </c>
      <c r="L267" s="1">
        <v>1</v>
      </c>
      <c r="M267" s="4">
        <v>1666</v>
      </c>
      <c r="N267" s="1">
        <v>1707</v>
      </c>
      <c r="O267" s="1">
        <v>3930</v>
      </c>
      <c r="P267" s="1">
        <v>2223</v>
      </c>
      <c r="Q267" s="1" t="s">
        <v>42</v>
      </c>
      <c r="S267" s="1" t="s">
        <v>42</v>
      </c>
      <c r="T267" s="1" t="s">
        <v>153</v>
      </c>
      <c r="U267" s="1">
        <v>102</v>
      </c>
      <c r="V267" s="5">
        <v>43980</v>
      </c>
      <c r="W267" s="5">
        <v>43743</v>
      </c>
      <c r="X267" s="1">
        <v>2995000</v>
      </c>
      <c r="Y267" s="1">
        <v>2995000</v>
      </c>
      <c r="Z267" s="5">
        <v>43846</v>
      </c>
      <c r="AA267" s="1">
        <v>2850000</v>
      </c>
      <c r="AB267" s="1" t="s">
        <v>198</v>
      </c>
      <c r="AC267" s="5">
        <v>43979</v>
      </c>
      <c r="AF267" s="1">
        <v>10023</v>
      </c>
      <c r="AI267" s="1" t="s">
        <v>187</v>
      </c>
      <c r="AJ267" s="1">
        <v>2019</v>
      </c>
      <c r="AK267" s="1" t="s">
        <v>49</v>
      </c>
      <c r="AL267" s="1">
        <v>38</v>
      </c>
    </row>
    <row r="268" spans="1:38" x14ac:dyDescent="0.2">
      <c r="A268" s="2" t="str">
        <f>HYPERLINK("https://www.compass.com/listing/350-west-71st-street-unit-3b-manhattan-ny-10023/296871363352745697/","350 W 71st St, Unit 3B")</f>
        <v>350 W 71st St, Unit 3B</v>
      </c>
      <c r="B268" s="2" t="str">
        <f t="shared" si="36"/>
        <v>350 West 71st Street</v>
      </c>
      <c r="C268" s="1" t="s">
        <v>78</v>
      </c>
      <c r="D268" s="1" t="s">
        <v>41</v>
      </c>
      <c r="E268" s="3">
        <v>2895000</v>
      </c>
      <c r="F268" s="1">
        <v>1692.98245614035</v>
      </c>
      <c r="G268" s="1">
        <v>5</v>
      </c>
      <c r="H268" s="1">
        <v>3</v>
      </c>
      <c r="I268" s="1">
        <v>3</v>
      </c>
      <c r="J268" s="1">
        <v>2.5</v>
      </c>
      <c r="K268" s="1">
        <v>2</v>
      </c>
      <c r="L268" s="1">
        <v>1</v>
      </c>
      <c r="M268" s="4">
        <v>1710</v>
      </c>
      <c r="N268" s="1">
        <v>1752</v>
      </c>
      <c r="O268" s="1">
        <v>4033</v>
      </c>
      <c r="P268" s="1">
        <v>2281</v>
      </c>
      <c r="S268" s="1" t="s">
        <v>42</v>
      </c>
      <c r="T268" s="1" t="s">
        <v>153</v>
      </c>
      <c r="U268" s="1">
        <v>165</v>
      </c>
      <c r="V268" s="5">
        <v>43881</v>
      </c>
      <c r="W268" s="5">
        <v>43661</v>
      </c>
      <c r="X268" s="1">
        <v>2995000</v>
      </c>
      <c r="Y268" s="1">
        <v>2995000</v>
      </c>
      <c r="Z268" s="5">
        <v>43827</v>
      </c>
      <c r="AA268" s="1">
        <v>2895000</v>
      </c>
      <c r="AB268" s="1" t="s">
        <v>177</v>
      </c>
      <c r="AC268" s="5">
        <v>43881</v>
      </c>
      <c r="AF268" s="1">
        <v>10023</v>
      </c>
      <c r="AI268" s="1" t="s">
        <v>107</v>
      </c>
      <c r="AJ268" s="1">
        <v>2019</v>
      </c>
      <c r="AK268" s="1" t="s">
        <v>49</v>
      </c>
      <c r="AL268" s="1">
        <v>38</v>
      </c>
    </row>
    <row r="269" spans="1:38" x14ac:dyDescent="0.2">
      <c r="A269" s="2" t="str">
        <f>HYPERLINK("https://www.compass.com/listing/350-west-71st-street-unit-6b-manhattan-ny-10023/436266240426881161/","350 W 71st St, Unit 6B")</f>
        <v>350 W 71st St, Unit 6B</v>
      </c>
      <c r="B269" s="2" t="str">
        <f t="shared" si="36"/>
        <v>350 West 71st Street</v>
      </c>
      <c r="C269" s="1" t="s">
        <v>78</v>
      </c>
      <c r="D269" s="1" t="s">
        <v>41</v>
      </c>
      <c r="E269" s="3">
        <v>2825000</v>
      </c>
      <c r="F269" s="1">
        <v>1652.0467836257301</v>
      </c>
      <c r="G269" s="1">
        <v>5</v>
      </c>
      <c r="H269" s="1">
        <v>3</v>
      </c>
      <c r="I269" s="1">
        <v>3</v>
      </c>
      <c r="J269" s="1">
        <v>2.5</v>
      </c>
      <c r="K269" s="1">
        <v>2</v>
      </c>
      <c r="L269" s="1">
        <v>1</v>
      </c>
      <c r="M269" s="4">
        <v>1710</v>
      </c>
      <c r="N269" s="1">
        <v>1752</v>
      </c>
      <c r="O269" s="1">
        <v>2950</v>
      </c>
      <c r="P269" s="1">
        <v>1198</v>
      </c>
      <c r="S269" s="1" t="s">
        <v>42</v>
      </c>
      <c r="T269" s="1" t="s">
        <v>153</v>
      </c>
      <c r="U269" s="1">
        <v>196</v>
      </c>
      <c r="V269" s="5">
        <v>44247</v>
      </c>
      <c r="W269" s="5">
        <v>43854</v>
      </c>
      <c r="X269" s="1">
        <v>3245000</v>
      </c>
      <c r="Y269" s="1">
        <v>3245000</v>
      </c>
      <c r="Z269" s="5">
        <v>44145</v>
      </c>
      <c r="AA269" s="1">
        <v>2825000</v>
      </c>
      <c r="AB269" s="1" t="s">
        <v>177</v>
      </c>
      <c r="AC269" s="5">
        <v>44211</v>
      </c>
      <c r="AF269" s="1">
        <v>10023</v>
      </c>
      <c r="AI269" s="1" t="s">
        <v>187</v>
      </c>
      <c r="AJ269" s="1">
        <v>2019</v>
      </c>
      <c r="AK269" s="1" t="s">
        <v>49</v>
      </c>
      <c r="AL269" s="1">
        <v>38</v>
      </c>
    </row>
    <row r="270" spans="1:38" x14ac:dyDescent="0.2">
      <c r="A270" s="2" t="str">
        <f>HYPERLINK("https://www.compass.com/listing/350-west-71st-street-unit-5e-manhattan-ny-10023/516624062373108553/","350 W 71st St, Unit 5E")</f>
        <v>350 W 71st St, Unit 5E</v>
      </c>
      <c r="B270" s="2" t="str">
        <f t="shared" si="36"/>
        <v>350 West 71st Street</v>
      </c>
      <c r="C270" s="1" t="s">
        <v>78</v>
      </c>
      <c r="D270" s="1" t="s">
        <v>41</v>
      </c>
      <c r="E270" s="3">
        <v>2825000</v>
      </c>
      <c r="F270" s="1">
        <v>1695.6782713085199</v>
      </c>
      <c r="G270" s="1">
        <v>5</v>
      </c>
      <c r="H270" s="1">
        <v>3</v>
      </c>
      <c r="I270" s="1">
        <v>3</v>
      </c>
      <c r="J270" s="1">
        <v>2.5</v>
      </c>
      <c r="K270" s="1">
        <v>2</v>
      </c>
      <c r="L270" s="1">
        <v>1</v>
      </c>
      <c r="M270" s="4">
        <v>1666</v>
      </c>
      <c r="N270" s="1">
        <v>1707</v>
      </c>
      <c r="O270" s="1">
        <v>2882</v>
      </c>
      <c r="P270" s="1">
        <v>1175</v>
      </c>
      <c r="Q270" s="1" t="s">
        <v>42</v>
      </c>
      <c r="S270" s="1" t="s">
        <v>42</v>
      </c>
      <c r="T270" s="1" t="s">
        <v>153</v>
      </c>
      <c r="U270" s="1">
        <v>169</v>
      </c>
      <c r="V270" s="5">
        <v>44242</v>
      </c>
      <c r="W270" s="5">
        <v>43965</v>
      </c>
      <c r="X270" s="1">
        <v>3095000</v>
      </c>
      <c r="Y270" s="1">
        <v>3095000</v>
      </c>
      <c r="Z270" s="5">
        <v>44173</v>
      </c>
      <c r="AA270" s="1">
        <v>2825000</v>
      </c>
      <c r="AB270" s="1" t="s">
        <v>199</v>
      </c>
      <c r="AC270" s="5">
        <v>44239</v>
      </c>
      <c r="AF270" s="1">
        <v>10023</v>
      </c>
      <c r="AI270" s="1" t="s">
        <v>187</v>
      </c>
      <c r="AJ270" s="1">
        <v>2019</v>
      </c>
      <c r="AK270" s="1" t="s">
        <v>49</v>
      </c>
      <c r="AL270" s="1">
        <v>38</v>
      </c>
    </row>
    <row r="271" spans="1:38" x14ac:dyDescent="0.2">
      <c r="A271" s="2" t="str">
        <f>HYPERLINK("https://www.compass.com/listing/350-west-71st-street-unit-4e-manhattan-ny-10023/296876643453137825/","350 W 71st St, Unit 4E")</f>
        <v>350 W 71st St, Unit 4E</v>
      </c>
      <c r="B271" s="2" t="str">
        <f t="shared" si="36"/>
        <v>350 West 71st Street</v>
      </c>
      <c r="C271" s="1" t="s">
        <v>78</v>
      </c>
      <c r="D271" s="1" t="s">
        <v>41</v>
      </c>
      <c r="E271" s="3">
        <v>3049659</v>
      </c>
      <c r="F271" s="1">
        <v>1830.52746098439</v>
      </c>
      <c r="G271" s="1">
        <v>5</v>
      </c>
      <c r="H271" s="1">
        <v>3</v>
      </c>
      <c r="I271" s="1">
        <v>3</v>
      </c>
      <c r="J271" s="1">
        <v>2.5</v>
      </c>
      <c r="K271" s="1">
        <v>2</v>
      </c>
      <c r="L271" s="1">
        <v>1</v>
      </c>
      <c r="M271" s="4">
        <v>1666</v>
      </c>
      <c r="N271" s="1">
        <v>1707</v>
      </c>
      <c r="O271" s="1">
        <v>3930</v>
      </c>
      <c r="P271" s="1">
        <v>2223</v>
      </c>
      <c r="Q271" s="1" t="s">
        <v>42</v>
      </c>
      <c r="S271" s="1" t="s">
        <v>42</v>
      </c>
      <c r="T271" s="1" t="s">
        <v>153</v>
      </c>
      <c r="U271" s="1">
        <v>248</v>
      </c>
      <c r="V271" s="5">
        <v>44028</v>
      </c>
      <c r="W271" s="5">
        <v>43661</v>
      </c>
      <c r="X271" s="1">
        <v>3295000</v>
      </c>
      <c r="Y271" s="1">
        <v>3195000</v>
      </c>
      <c r="Z271" s="5">
        <v>43965</v>
      </c>
      <c r="AA271" s="1">
        <v>3049658.75</v>
      </c>
      <c r="AB271" s="1" t="s">
        <v>200</v>
      </c>
      <c r="AC271" s="5">
        <v>44027</v>
      </c>
      <c r="AF271" s="1">
        <v>10023</v>
      </c>
      <c r="AI271" s="1" t="s">
        <v>107</v>
      </c>
      <c r="AJ271" s="1">
        <v>2019</v>
      </c>
      <c r="AK271" s="1" t="s">
        <v>49</v>
      </c>
      <c r="AL271" s="1">
        <v>38</v>
      </c>
    </row>
    <row r="272" spans="1:38" x14ac:dyDescent="0.2">
      <c r="A272" s="2" t="str">
        <f>HYPERLINK("https://www.compass.com/listing/350-west-71st-street-unit-5b-manhattan-ny-10023/434820948094115241/","350 W 71st St, Unit 5B")</f>
        <v>350 W 71st St, Unit 5B</v>
      </c>
      <c r="B272" s="2" t="str">
        <f t="shared" si="36"/>
        <v>350 West 71st Street</v>
      </c>
      <c r="C272" s="1" t="s">
        <v>78</v>
      </c>
      <c r="D272" s="1" t="s">
        <v>41</v>
      </c>
      <c r="E272" s="3">
        <v>3395000</v>
      </c>
      <c r="F272" s="1">
        <v>1985.3801169590599</v>
      </c>
      <c r="G272" s="1">
        <v>5</v>
      </c>
      <c r="H272" s="1">
        <v>3</v>
      </c>
      <c r="I272" s="1">
        <v>3</v>
      </c>
      <c r="J272" s="1">
        <v>2.5</v>
      </c>
      <c r="K272" s="1">
        <v>2</v>
      </c>
      <c r="L272" s="1">
        <v>1</v>
      </c>
      <c r="M272" s="4">
        <v>1710</v>
      </c>
      <c r="N272" s="1">
        <v>1752</v>
      </c>
      <c r="O272" s="1">
        <v>4033</v>
      </c>
      <c r="P272" s="1">
        <v>2281</v>
      </c>
      <c r="S272" s="1" t="s">
        <v>42</v>
      </c>
      <c r="T272" s="1" t="s">
        <v>153</v>
      </c>
      <c r="V272" s="5">
        <v>43903</v>
      </c>
      <c r="Y272" s="1">
        <v>3395000</v>
      </c>
      <c r="Z272" s="5">
        <v>43852</v>
      </c>
      <c r="AA272" s="1">
        <v>3395000</v>
      </c>
      <c r="AB272" s="1" t="s">
        <v>177</v>
      </c>
      <c r="AC272" s="5">
        <v>43900</v>
      </c>
      <c r="AF272" s="1">
        <v>10023</v>
      </c>
      <c r="AI272" s="1" t="s">
        <v>187</v>
      </c>
      <c r="AJ272" s="1">
        <v>2019</v>
      </c>
      <c r="AK272" s="1" t="s">
        <v>49</v>
      </c>
      <c r="AL272" s="1">
        <v>38</v>
      </c>
    </row>
    <row r="273" spans="1:38" x14ac:dyDescent="0.2">
      <c r="A273" s="2" t="str">
        <f>HYPERLINK("https://www.compass.com/listing/21-east-61st-street-unit-8d-manhattan-ny-10065/560807036307593569/","21 E 61st St, Unit 8D")</f>
        <v>21 E 61st St, Unit 8D</v>
      </c>
      <c r="B273" s="2" t="str">
        <f>HYPERLINK("https://www.compass.com/building/the-carlton-house-manhattan-ny/292926373863910149/","The Carlton House")</f>
        <v>The Carlton House</v>
      </c>
      <c r="C273" s="1" t="s">
        <v>98</v>
      </c>
      <c r="D273" s="1" t="s">
        <v>41</v>
      </c>
      <c r="E273" s="3">
        <v>4150000</v>
      </c>
      <c r="F273" s="1">
        <v>2906.16246498599</v>
      </c>
      <c r="G273" s="1">
        <v>4.5</v>
      </c>
      <c r="H273" s="1">
        <v>2</v>
      </c>
      <c r="I273" s="1">
        <v>3</v>
      </c>
      <c r="J273" s="1">
        <v>2.5</v>
      </c>
      <c r="K273" s="1">
        <v>2</v>
      </c>
      <c r="L273" s="1">
        <v>1</v>
      </c>
      <c r="M273" s="4">
        <v>1428</v>
      </c>
      <c r="N273" s="1">
        <v>5409</v>
      </c>
      <c r="O273" s="1">
        <v>5409</v>
      </c>
      <c r="S273" s="1" t="s">
        <v>104</v>
      </c>
      <c r="T273" s="1" t="s">
        <v>153</v>
      </c>
      <c r="U273" s="1">
        <v>265</v>
      </c>
      <c r="V273" s="5">
        <v>44419</v>
      </c>
      <c r="W273" s="5">
        <v>44026</v>
      </c>
      <c r="X273" s="1">
        <v>4700000</v>
      </c>
      <c r="Y273" s="1">
        <v>4700000</v>
      </c>
      <c r="Z273" s="5">
        <v>44229</v>
      </c>
      <c r="AA273" s="1">
        <v>4150000</v>
      </c>
      <c r="AB273" s="1" t="s">
        <v>171</v>
      </c>
      <c r="AC273" s="5">
        <v>44350</v>
      </c>
      <c r="AF273" s="1">
        <v>10065</v>
      </c>
      <c r="AJ273" s="1">
        <v>1951</v>
      </c>
      <c r="AK273" s="1" t="s">
        <v>49</v>
      </c>
      <c r="AL273" s="1">
        <v>68</v>
      </c>
    </row>
    <row r="274" spans="1:38" x14ac:dyDescent="0.2">
      <c r="A274" s="2" t="str">
        <f>HYPERLINK("https://www.compass.com/listing/350-west-71st-street-unit-3e-manhattan-ny-10023/296884466760976993/","350 W 71st St, Unit 3E")</f>
        <v>350 W 71st St, Unit 3E</v>
      </c>
      <c r="B274" s="2" t="str">
        <f t="shared" ref="B274:B277" si="37">HYPERLINK("https://www.compass.com/building/350-west-71st-street-manhattan-ny/282058856064910533/","350 West 71st Street")</f>
        <v>350 West 71st Street</v>
      </c>
      <c r="C274" s="1" t="s">
        <v>78</v>
      </c>
      <c r="D274" s="1" t="s">
        <v>41</v>
      </c>
      <c r="E274" s="3">
        <v>3164325</v>
      </c>
      <c r="F274" s="1">
        <v>1899.3547418967501</v>
      </c>
      <c r="G274" s="1">
        <v>5</v>
      </c>
      <c r="H274" s="1">
        <v>3</v>
      </c>
      <c r="I274" s="1">
        <v>3</v>
      </c>
      <c r="J274" s="1">
        <v>2.5</v>
      </c>
      <c r="K274" s="1">
        <v>2</v>
      </c>
      <c r="L274" s="1">
        <v>1</v>
      </c>
      <c r="M274" s="4">
        <v>1666</v>
      </c>
      <c r="N274" s="1">
        <v>1707</v>
      </c>
      <c r="O274" s="1">
        <v>3930</v>
      </c>
      <c r="P274" s="1">
        <v>2223</v>
      </c>
      <c r="Q274" s="1" t="s">
        <v>42</v>
      </c>
      <c r="S274" s="1" t="s">
        <v>42</v>
      </c>
      <c r="T274" s="1" t="s">
        <v>153</v>
      </c>
      <c r="V274" s="5">
        <v>43816</v>
      </c>
      <c r="W274" s="5">
        <v>43661</v>
      </c>
      <c r="X274" s="1">
        <v>3150000</v>
      </c>
      <c r="Y274" s="1">
        <v>3150000</v>
      </c>
      <c r="Z274" s="5">
        <v>43661</v>
      </c>
      <c r="AA274" s="1">
        <v>3164325</v>
      </c>
      <c r="AB274" s="1" t="s">
        <v>201</v>
      </c>
      <c r="AC274" s="5">
        <v>43812</v>
      </c>
      <c r="AF274" s="1">
        <v>10023</v>
      </c>
      <c r="AI274" s="1" t="s">
        <v>107</v>
      </c>
      <c r="AJ274" s="1">
        <v>2019</v>
      </c>
      <c r="AK274" s="1" t="s">
        <v>49</v>
      </c>
      <c r="AL274" s="1">
        <v>38</v>
      </c>
    </row>
    <row r="275" spans="1:38" x14ac:dyDescent="0.2">
      <c r="A275" s="2" t="str">
        <f>HYPERLINK("https://www.compass.com/listing/350-w-71st-st-unit-garden-c-manhattan-ny-10023/296904219156189441/","350 W 71st St, Unit GARDEN C")</f>
        <v>350 W 71st St, Unit GARDEN C</v>
      </c>
      <c r="B275" s="2" t="str">
        <f t="shared" si="37"/>
        <v>350 West 71st Street</v>
      </c>
      <c r="C275" s="1" t="s">
        <v>78</v>
      </c>
      <c r="D275" s="1" t="s">
        <v>41</v>
      </c>
      <c r="E275" s="3">
        <v>3095000</v>
      </c>
      <c r="F275" s="1">
        <v>1269.48318293683</v>
      </c>
      <c r="G275" s="1">
        <v>5</v>
      </c>
      <c r="H275" s="1">
        <v>2</v>
      </c>
      <c r="I275" s="1">
        <v>3</v>
      </c>
      <c r="J275" s="1">
        <v>2.5</v>
      </c>
      <c r="K275" s="1">
        <v>2</v>
      </c>
      <c r="L275" s="1">
        <v>1</v>
      </c>
      <c r="M275" s="4">
        <v>2438</v>
      </c>
      <c r="N275" s="1">
        <v>1980</v>
      </c>
      <c r="O275" s="1">
        <v>4558</v>
      </c>
      <c r="P275" s="1">
        <v>2578</v>
      </c>
      <c r="S275" s="1" t="s">
        <v>42</v>
      </c>
      <c r="T275" s="1" t="s">
        <v>153</v>
      </c>
      <c r="V275" s="5">
        <v>43855</v>
      </c>
      <c r="W275" s="5">
        <v>43661</v>
      </c>
      <c r="X275" s="1">
        <v>3095000</v>
      </c>
      <c r="Y275" s="1">
        <v>3095000</v>
      </c>
      <c r="Z275" s="5">
        <v>43661</v>
      </c>
      <c r="AA275" s="1">
        <v>3095000</v>
      </c>
      <c r="AB275" s="1" t="s">
        <v>177</v>
      </c>
      <c r="AC275" s="5">
        <v>43855</v>
      </c>
      <c r="AF275" s="1">
        <v>10023</v>
      </c>
      <c r="AI275" s="1" t="s">
        <v>187</v>
      </c>
      <c r="AJ275" s="1">
        <v>2019</v>
      </c>
      <c r="AK275" s="1" t="s">
        <v>49</v>
      </c>
      <c r="AL275" s="1">
        <v>38</v>
      </c>
    </row>
    <row r="276" spans="1:38" x14ac:dyDescent="0.2">
      <c r="A276" s="2" t="str">
        <f>HYPERLINK("https://www.compass.com/listing/350-w-71st-st-unit-garden-d-manhattan-ny-10023/296878600984889361/","350 W 71st St, Unit GARDEN D")</f>
        <v>350 W 71st St, Unit GARDEN D</v>
      </c>
      <c r="B276" s="2" t="str">
        <f t="shared" si="37"/>
        <v>350 West 71st Street</v>
      </c>
      <c r="C276" s="1" t="s">
        <v>78</v>
      </c>
      <c r="D276" s="1" t="s">
        <v>41</v>
      </c>
      <c r="E276" s="3">
        <v>3495000</v>
      </c>
      <c r="F276" s="1">
        <v>1226.7462267462199</v>
      </c>
      <c r="G276" s="1">
        <v>7</v>
      </c>
      <c r="H276" s="1">
        <v>3</v>
      </c>
      <c r="I276" s="1">
        <v>3</v>
      </c>
      <c r="J276" s="1">
        <v>2.5</v>
      </c>
      <c r="K276" s="1">
        <v>2</v>
      </c>
      <c r="L276" s="1">
        <v>1</v>
      </c>
      <c r="M276" s="4">
        <v>2849</v>
      </c>
      <c r="N276" s="1">
        <v>2247</v>
      </c>
      <c r="O276" s="1">
        <v>5173</v>
      </c>
      <c r="P276" s="1">
        <v>2926</v>
      </c>
      <c r="S276" s="1" t="s">
        <v>42</v>
      </c>
      <c r="T276" s="1" t="s">
        <v>153</v>
      </c>
      <c r="U276" s="1">
        <v>88</v>
      </c>
      <c r="V276" s="5">
        <v>43872</v>
      </c>
      <c r="W276" s="5">
        <v>43661</v>
      </c>
      <c r="X276" s="1">
        <v>3495000</v>
      </c>
      <c r="Y276" s="1">
        <v>3495000</v>
      </c>
      <c r="Z276" s="5">
        <v>43749</v>
      </c>
      <c r="AA276" s="1">
        <v>3495000</v>
      </c>
      <c r="AB276" s="1" t="s">
        <v>177</v>
      </c>
      <c r="AC276" s="5">
        <v>43872</v>
      </c>
      <c r="AF276" s="1">
        <v>10023</v>
      </c>
      <c r="AI276" s="1" t="s">
        <v>187</v>
      </c>
      <c r="AJ276" s="1">
        <v>2019</v>
      </c>
      <c r="AK276" s="1" t="s">
        <v>49</v>
      </c>
      <c r="AL276" s="1">
        <v>38</v>
      </c>
    </row>
    <row r="277" spans="1:38" x14ac:dyDescent="0.2">
      <c r="A277" s="2" t="str">
        <f>HYPERLINK("https://www.compass.com/listing/350-west-71st-street-unit-2b-manhattan-ny-10023/653507087981787753/","350 W 71st St, Unit 2B")</f>
        <v>350 W 71st St, Unit 2B</v>
      </c>
      <c r="B277" s="2" t="str">
        <f t="shared" si="37"/>
        <v>350 West 71st Street</v>
      </c>
      <c r="C277" s="1" t="s">
        <v>78</v>
      </c>
      <c r="D277" s="1" t="s">
        <v>41</v>
      </c>
      <c r="E277" s="3">
        <v>3495000</v>
      </c>
      <c r="F277" s="1">
        <v>1549.2021276595699</v>
      </c>
      <c r="G277" s="1">
        <v>5</v>
      </c>
      <c r="H277" s="1">
        <v>4</v>
      </c>
      <c r="I277" s="1">
        <v>4</v>
      </c>
      <c r="J277" s="1">
        <v>3.5</v>
      </c>
      <c r="K277" s="1">
        <v>3</v>
      </c>
      <c r="L277" s="1">
        <v>1</v>
      </c>
      <c r="M277" s="4">
        <v>2256</v>
      </c>
      <c r="N277" s="1">
        <v>2312.12</v>
      </c>
      <c r="O277" s="1">
        <v>3838.12</v>
      </c>
      <c r="P277" s="1">
        <v>1526</v>
      </c>
      <c r="S277" s="1" t="s">
        <v>42</v>
      </c>
      <c r="T277" s="1" t="s">
        <v>153</v>
      </c>
      <c r="U277" s="1">
        <v>107</v>
      </c>
      <c r="V277" s="5">
        <v>44303</v>
      </c>
      <c r="W277" s="5">
        <v>44154</v>
      </c>
      <c r="X277" s="1">
        <v>3495000</v>
      </c>
      <c r="Y277" s="1">
        <v>3495000</v>
      </c>
      <c r="Z277" s="5">
        <v>44261</v>
      </c>
      <c r="AA277" s="1">
        <v>3495000</v>
      </c>
      <c r="AB277" s="1" t="s">
        <v>177</v>
      </c>
      <c r="AC277" s="5">
        <v>44303</v>
      </c>
      <c r="AF277" s="1">
        <v>10023</v>
      </c>
      <c r="AI277" s="1" t="s">
        <v>187</v>
      </c>
      <c r="AJ277" s="1">
        <v>2019</v>
      </c>
      <c r="AK277" s="1" t="s">
        <v>49</v>
      </c>
      <c r="AL277" s="1">
        <v>38</v>
      </c>
    </row>
    <row r="278" spans="1:38" x14ac:dyDescent="0.2">
      <c r="A278" s="2" t="str">
        <f>HYPERLINK("https://www.compass.com/listing/139-east-23rd-street-unit-6-manhattan-ny-10010/692592871484803841/","139 E 23rd St, Unit 6")</f>
        <v>139 E 23rd St, Unit 6</v>
      </c>
      <c r="B278" s="2" t="str">
        <f t="shared" ref="B278:B279" si="38">HYPERLINK("https://www.compass.com/building/gramercy-north-manhattan-ny/293531500840871717/","Gramercy North")</f>
        <v>Gramercy North</v>
      </c>
      <c r="C278" s="1" t="s">
        <v>93</v>
      </c>
      <c r="D278" s="1" t="s">
        <v>41</v>
      </c>
      <c r="E278" s="3">
        <v>2525000</v>
      </c>
      <c r="F278" s="1">
        <v>1644.95114006514</v>
      </c>
      <c r="G278" s="1">
        <v>5</v>
      </c>
      <c r="H278" s="1">
        <v>2</v>
      </c>
      <c r="I278" s="1">
        <v>2</v>
      </c>
      <c r="J278" s="1">
        <v>2</v>
      </c>
      <c r="K278" s="1">
        <v>2</v>
      </c>
      <c r="M278" s="4">
        <v>1535</v>
      </c>
      <c r="N278" s="1">
        <v>801</v>
      </c>
      <c r="O278" s="1">
        <v>2413</v>
      </c>
      <c r="P278" s="1">
        <v>1612</v>
      </c>
      <c r="Q278" s="1" t="s">
        <v>42</v>
      </c>
      <c r="S278" s="1" t="s">
        <v>42</v>
      </c>
      <c r="T278" s="1" t="s">
        <v>153</v>
      </c>
      <c r="U278" s="1">
        <v>3</v>
      </c>
      <c r="V278" s="5">
        <v>44251</v>
      </c>
      <c r="W278" s="5">
        <v>44207</v>
      </c>
      <c r="X278" s="1">
        <v>2560000</v>
      </c>
      <c r="Y278" s="1">
        <v>2560000</v>
      </c>
      <c r="Z278" s="5">
        <v>44211</v>
      </c>
      <c r="AA278" s="1">
        <v>2525000</v>
      </c>
      <c r="AB278" s="1" t="s">
        <v>202</v>
      </c>
      <c r="AC278" s="5">
        <v>44250</v>
      </c>
      <c r="AF278" s="1">
        <v>10010</v>
      </c>
      <c r="AI278" s="1" t="s">
        <v>107</v>
      </c>
      <c r="AJ278" s="1">
        <v>2019</v>
      </c>
      <c r="AL278" s="1">
        <v>14</v>
      </c>
    </row>
    <row r="279" spans="1:38" x14ac:dyDescent="0.2">
      <c r="A279" s="2" t="str">
        <f>HYPERLINK("https://www.compass.com/listing/139-east-23rd-street-unit-8-manhattan-ny-10010/444203775222897457/","139 E 23rd St, Unit 8")</f>
        <v>139 E 23rd St, Unit 8</v>
      </c>
      <c r="B279" s="2" t="str">
        <f t="shared" si="38"/>
        <v>Gramercy North</v>
      </c>
      <c r="C279" s="1" t="s">
        <v>93</v>
      </c>
      <c r="D279" s="1" t="s">
        <v>41</v>
      </c>
      <c r="E279" s="3">
        <v>2550000</v>
      </c>
      <c r="F279" s="1">
        <v>1661.23778501628</v>
      </c>
      <c r="G279" s="1">
        <v>5</v>
      </c>
      <c r="H279" s="1">
        <v>2</v>
      </c>
      <c r="I279" s="1">
        <v>2</v>
      </c>
      <c r="J279" s="1">
        <v>2</v>
      </c>
      <c r="K279" s="1">
        <v>2</v>
      </c>
      <c r="M279" s="4">
        <v>1535</v>
      </c>
      <c r="N279" s="1">
        <v>801</v>
      </c>
      <c r="O279" s="1">
        <v>2413</v>
      </c>
      <c r="P279" s="1">
        <v>1612</v>
      </c>
      <c r="Q279" s="1" t="s">
        <v>42</v>
      </c>
      <c r="S279" s="1" t="s">
        <v>42</v>
      </c>
      <c r="T279" s="1" t="s">
        <v>153</v>
      </c>
      <c r="V279" s="5">
        <v>44232</v>
      </c>
      <c r="W279" s="5">
        <v>43865</v>
      </c>
      <c r="X279" s="1">
        <v>2620000</v>
      </c>
      <c r="Y279" s="1">
        <v>2620000</v>
      </c>
      <c r="Z279" s="5">
        <v>43865</v>
      </c>
      <c r="AA279" s="1">
        <v>2550000</v>
      </c>
      <c r="AB279" s="1" t="s">
        <v>203</v>
      </c>
      <c r="AC279" s="5">
        <v>44196</v>
      </c>
      <c r="AF279" s="1">
        <v>10010</v>
      </c>
      <c r="AI279" s="1" t="s">
        <v>107</v>
      </c>
      <c r="AJ279" s="1">
        <v>2019</v>
      </c>
      <c r="AL279" s="1">
        <v>14</v>
      </c>
    </row>
    <row r="280" spans="1:38" x14ac:dyDescent="0.2">
      <c r="A280" s="2" t="str">
        <f>HYPERLINK("https://www.compass.com/listing/350-west-71st-street-unit-phc-manhattan-ny-10023/613597922340417937/","350 W 71st St, Unit PHC")</f>
        <v>350 W 71st St, Unit PHC</v>
      </c>
      <c r="B280" s="2" t="str">
        <f>HYPERLINK("https://www.compass.com/building/350-west-71st-street-manhattan-ny/282058856064910533/","350 West 71st Street")</f>
        <v>350 West 71st Street</v>
      </c>
      <c r="C280" s="1" t="s">
        <v>78</v>
      </c>
      <c r="D280" s="1" t="s">
        <v>41</v>
      </c>
      <c r="E280" s="3">
        <v>4600000</v>
      </c>
      <c r="F280" s="1">
        <v>2014.0105078809099</v>
      </c>
      <c r="G280" s="1">
        <v>6</v>
      </c>
      <c r="H280" s="1">
        <v>3</v>
      </c>
      <c r="I280" s="1">
        <v>3</v>
      </c>
      <c r="J280" s="1">
        <v>2.5</v>
      </c>
      <c r="K280" s="1">
        <v>2</v>
      </c>
      <c r="L280" s="1">
        <v>1</v>
      </c>
      <c r="M280" s="4">
        <v>2284</v>
      </c>
      <c r="N280" s="1">
        <v>2863</v>
      </c>
      <c r="O280" s="1">
        <v>4625</v>
      </c>
      <c r="P280" s="1">
        <v>1762</v>
      </c>
      <c r="Q280" s="1" t="s">
        <v>42</v>
      </c>
      <c r="S280" s="1" t="s">
        <v>42</v>
      </c>
      <c r="T280" s="1" t="s">
        <v>153</v>
      </c>
      <c r="U280" s="1">
        <v>76</v>
      </c>
      <c r="V280" s="5">
        <v>44251</v>
      </c>
      <c r="W280" s="5">
        <v>44098</v>
      </c>
      <c r="X280" s="1">
        <v>5250000</v>
      </c>
      <c r="Y280" s="1">
        <v>5250000</v>
      </c>
      <c r="Z280" s="5">
        <v>44175</v>
      </c>
      <c r="AA280" s="1">
        <v>4600000</v>
      </c>
      <c r="AB280" s="1" t="s">
        <v>204</v>
      </c>
      <c r="AC280" s="5">
        <v>44249</v>
      </c>
      <c r="AF280" s="1">
        <v>10023</v>
      </c>
      <c r="AI280" s="1" t="s">
        <v>197</v>
      </c>
      <c r="AJ280" s="1">
        <v>2019</v>
      </c>
      <c r="AK280" s="1" t="s">
        <v>49</v>
      </c>
      <c r="AL280" s="1">
        <v>38</v>
      </c>
    </row>
    <row r="281" spans="1:38" x14ac:dyDescent="0.2">
      <c r="A281" s="2" t="str">
        <f>HYPERLINK("https://www.compass.com/listing/139-east-23rd-street-unit-11-manhattan-ny-10010/677503698016176065/","139 E 23rd St, Unit 11")</f>
        <v>139 E 23rd St, Unit 11</v>
      </c>
      <c r="B281" s="2" t="str">
        <f t="shared" ref="B281:B282" si="39">HYPERLINK("https://www.compass.com/building/gramercy-north-manhattan-ny/293531500840871717/","Gramercy North")</f>
        <v>Gramercy North</v>
      </c>
      <c r="C281" s="1" t="s">
        <v>93</v>
      </c>
      <c r="D281" s="1" t="s">
        <v>41</v>
      </c>
      <c r="E281" s="3">
        <v>2800000</v>
      </c>
      <c r="F281" s="1">
        <v>1824.1042345276801</v>
      </c>
      <c r="G281" s="1">
        <v>5</v>
      </c>
      <c r="H281" s="1">
        <v>2</v>
      </c>
      <c r="I281" s="1">
        <v>2</v>
      </c>
      <c r="J281" s="1">
        <v>2</v>
      </c>
      <c r="K281" s="1">
        <v>2</v>
      </c>
      <c r="M281" s="4">
        <v>1535</v>
      </c>
      <c r="N281" s="1">
        <v>801</v>
      </c>
      <c r="O281" s="1">
        <v>2413</v>
      </c>
      <c r="P281" s="1">
        <v>1612</v>
      </c>
      <c r="S281" s="1" t="s">
        <v>42</v>
      </c>
      <c r="T281" s="1" t="s">
        <v>153</v>
      </c>
      <c r="U281" s="1">
        <v>2</v>
      </c>
      <c r="V281" s="5">
        <v>44189</v>
      </c>
      <c r="W281" s="5">
        <v>44187</v>
      </c>
      <c r="X281" s="1">
        <v>2800000</v>
      </c>
      <c r="Y281" s="1">
        <v>2800000</v>
      </c>
      <c r="AA281" s="1">
        <v>2800000</v>
      </c>
      <c r="AB281" s="1" t="s">
        <v>177</v>
      </c>
      <c r="AC281" s="5">
        <v>44189</v>
      </c>
      <c r="AF281" s="1">
        <v>10010</v>
      </c>
      <c r="AI281" s="1" t="s">
        <v>107</v>
      </c>
      <c r="AJ281" s="1">
        <v>2019</v>
      </c>
      <c r="AL281" s="1">
        <v>14</v>
      </c>
    </row>
    <row r="282" spans="1:38" x14ac:dyDescent="0.2">
      <c r="A282" s="2" t="str">
        <f>HYPERLINK("https://www.compass.com/listing/139-east-23rd-street-unit-11-manhattan-ny-10010/426103421987245825/","139 E 23rd St, Unit 11")</f>
        <v>139 E 23rd St, Unit 11</v>
      </c>
      <c r="B282" s="2" t="str">
        <f t="shared" si="39"/>
        <v>Gramercy North</v>
      </c>
      <c r="C282" s="1" t="s">
        <v>93</v>
      </c>
      <c r="D282" s="1" t="s">
        <v>41</v>
      </c>
      <c r="E282" s="3">
        <v>2800000</v>
      </c>
      <c r="F282" s="1">
        <v>1828.87001959503</v>
      </c>
      <c r="G282" s="1">
        <v>6</v>
      </c>
      <c r="H282" s="1">
        <v>2</v>
      </c>
      <c r="I282" s="1">
        <v>2</v>
      </c>
      <c r="J282" s="1">
        <v>2</v>
      </c>
      <c r="K282" s="1">
        <v>2</v>
      </c>
      <c r="M282" s="4">
        <v>1531</v>
      </c>
      <c r="N282" s="1">
        <v>801</v>
      </c>
      <c r="O282" s="1">
        <v>2413</v>
      </c>
      <c r="P282" s="1">
        <v>1612</v>
      </c>
      <c r="Q282" s="1" t="s">
        <v>42</v>
      </c>
      <c r="S282" s="1" t="s">
        <v>42</v>
      </c>
      <c r="T282" s="1" t="s">
        <v>153</v>
      </c>
      <c r="U282" s="1">
        <v>25</v>
      </c>
      <c r="V282" s="5">
        <v>44170</v>
      </c>
      <c r="W282" s="5">
        <v>43841</v>
      </c>
      <c r="X282" s="1">
        <v>2770000</v>
      </c>
      <c r="Y282" s="1">
        <v>2770000</v>
      </c>
      <c r="Z282" s="5">
        <v>43867</v>
      </c>
      <c r="AA282" s="1">
        <v>2800000</v>
      </c>
      <c r="AB282" s="1" t="s">
        <v>205</v>
      </c>
      <c r="AC282" s="5">
        <v>44168</v>
      </c>
      <c r="AF282" s="1">
        <v>10010</v>
      </c>
      <c r="AI282" s="1" t="s">
        <v>107</v>
      </c>
      <c r="AJ282" s="1">
        <v>2019</v>
      </c>
      <c r="AL282" s="1">
        <v>14</v>
      </c>
    </row>
    <row r="283" spans="1:38" x14ac:dyDescent="0.2">
      <c r="A283" s="2" t="str">
        <f>HYPERLINK("https://www.compass.com/listing/350-west-71st-street-unit-phd-manhattan-ny-10023/296869973150565969/","350 W 71st St, Unit PHD")</f>
        <v>350 W 71st St, Unit PHD</v>
      </c>
      <c r="B283" s="2" t="str">
        <f t="shared" ref="B283:B285" si="40">HYPERLINK("https://www.compass.com/building/350-west-71st-street-manhattan-ny/282058856064910533/","350 West 71st Street")</f>
        <v>350 West 71st Street</v>
      </c>
      <c r="C283" s="1" t="s">
        <v>78</v>
      </c>
      <c r="D283" s="1" t="s">
        <v>41</v>
      </c>
      <c r="E283" s="3">
        <v>3850000</v>
      </c>
      <c r="F283" s="1">
        <v>2131.7829457364301</v>
      </c>
      <c r="G283" s="1">
        <v>6</v>
      </c>
      <c r="H283" s="1">
        <v>3</v>
      </c>
      <c r="I283" s="1">
        <v>3</v>
      </c>
      <c r="J283" s="1">
        <v>2.5</v>
      </c>
      <c r="K283" s="1">
        <v>2</v>
      </c>
      <c r="L283" s="1">
        <v>1</v>
      </c>
      <c r="M283" s="4">
        <v>1806</v>
      </c>
      <c r="N283" s="1">
        <v>2415</v>
      </c>
      <c r="O283" s="1">
        <v>5559</v>
      </c>
      <c r="P283" s="1">
        <v>3144</v>
      </c>
      <c r="Q283" s="1" t="s">
        <v>42</v>
      </c>
      <c r="S283" s="1" t="s">
        <v>42</v>
      </c>
      <c r="T283" s="1" t="s">
        <v>153</v>
      </c>
      <c r="U283" s="1">
        <v>84</v>
      </c>
      <c r="V283" s="5">
        <v>43839</v>
      </c>
      <c r="W283" s="5">
        <v>43661</v>
      </c>
      <c r="X283" s="1">
        <v>3995000</v>
      </c>
      <c r="Y283" s="1">
        <v>3995000</v>
      </c>
      <c r="Z283" s="5">
        <v>43746</v>
      </c>
      <c r="AA283" s="1">
        <v>3850000</v>
      </c>
      <c r="AB283" s="1" t="s">
        <v>206</v>
      </c>
      <c r="AC283" s="5">
        <v>43833</v>
      </c>
      <c r="AF283" s="1">
        <v>10023</v>
      </c>
      <c r="AI283" s="1" t="s">
        <v>142</v>
      </c>
      <c r="AJ283" s="1">
        <v>2019</v>
      </c>
      <c r="AK283" s="1" t="s">
        <v>49</v>
      </c>
      <c r="AL283" s="1">
        <v>38</v>
      </c>
    </row>
    <row r="284" spans="1:38" x14ac:dyDescent="0.2">
      <c r="A284" s="2" t="str">
        <f>HYPERLINK("https://www.compass.com/listing/350-west-71st-street-unit-phb-manhattan-ny-10023/320263314462607553/","350 W 71st St, Unit PHB")</f>
        <v>350 W 71st St, Unit PHB</v>
      </c>
      <c r="B284" s="2" t="str">
        <f t="shared" si="40"/>
        <v>350 West 71st Street</v>
      </c>
      <c r="C284" s="1" t="s">
        <v>78</v>
      </c>
      <c r="D284" s="1" t="s">
        <v>41</v>
      </c>
      <c r="E284" s="3">
        <v>3995000</v>
      </c>
      <c r="F284" s="1">
        <v>1990.5331340308901</v>
      </c>
      <c r="G284" s="1">
        <v>5</v>
      </c>
      <c r="H284" s="1">
        <v>3</v>
      </c>
      <c r="I284" s="1">
        <v>3</v>
      </c>
      <c r="J284" s="1">
        <v>2.5</v>
      </c>
      <c r="K284" s="1">
        <v>2</v>
      </c>
      <c r="L284" s="1">
        <v>1</v>
      </c>
      <c r="M284" s="4">
        <v>2007</v>
      </c>
      <c r="N284" s="1">
        <v>2299</v>
      </c>
      <c r="O284" s="1">
        <v>5292</v>
      </c>
      <c r="P284" s="1">
        <v>2993</v>
      </c>
      <c r="S284" s="1" t="s">
        <v>42</v>
      </c>
      <c r="T284" s="1" t="s">
        <v>153</v>
      </c>
      <c r="U284" s="1">
        <v>2</v>
      </c>
      <c r="V284" s="5">
        <v>43820</v>
      </c>
      <c r="W284" s="5">
        <v>43694</v>
      </c>
      <c r="X284" s="1">
        <v>3995000</v>
      </c>
      <c r="Y284" s="1">
        <v>3995000</v>
      </c>
      <c r="Z284" s="5">
        <v>43697</v>
      </c>
      <c r="AA284" s="1">
        <v>3995000</v>
      </c>
      <c r="AB284" s="1" t="s">
        <v>177</v>
      </c>
      <c r="AC284" s="5">
        <v>43820</v>
      </c>
      <c r="AF284" s="1">
        <v>10023</v>
      </c>
      <c r="AI284" s="1" t="s">
        <v>197</v>
      </c>
      <c r="AJ284" s="1">
        <v>2019</v>
      </c>
      <c r="AK284" s="1" t="s">
        <v>49</v>
      </c>
      <c r="AL284" s="1">
        <v>38</v>
      </c>
    </row>
    <row r="285" spans="1:38" x14ac:dyDescent="0.2">
      <c r="A285" s="2" t="str">
        <f>HYPERLINK("https://www.compass.com/listing/350-west-71st-street-unit-pha-manhattan-ny-10023/296868557371639297/","350 W 71st St, Unit PHA")</f>
        <v>350 W 71st St, Unit PHA</v>
      </c>
      <c r="B285" s="2" t="str">
        <f t="shared" si="40"/>
        <v>350 West 71st Street</v>
      </c>
      <c r="C285" s="1" t="s">
        <v>78</v>
      </c>
      <c r="D285" s="1" t="s">
        <v>41</v>
      </c>
      <c r="E285" s="3">
        <v>5850000</v>
      </c>
      <c r="F285" s="1">
        <v>2291.4218566392401</v>
      </c>
      <c r="G285" s="1">
        <v>5</v>
      </c>
      <c r="H285" s="1">
        <v>3</v>
      </c>
      <c r="I285" s="1">
        <v>4</v>
      </c>
      <c r="J285" s="1">
        <v>3.5</v>
      </c>
      <c r="K285" s="1">
        <v>3</v>
      </c>
      <c r="L285" s="1">
        <v>1</v>
      </c>
      <c r="M285" s="4">
        <v>2553</v>
      </c>
      <c r="N285" s="1">
        <v>3155</v>
      </c>
      <c r="O285" s="1">
        <v>7281</v>
      </c>
      <c r="P285" s="1">
        <v>4126</v>
      </c>
      <c r="S285" s="1" t="s">
        <v>42</v>
      </c>
      <c r="T285" s="1" t="s">
        <v>153</v>
      </c>
      <c r="U285" s="1">
        <v>342</v>
      </c>
      <c r="V285" s="5">
        <v>44152</v>
      </c>
      <c r="W285" s="5">
        <v>43661</v>
      </c>
      <c r="X285" s="1">
        <v>5850000</v>
      </c>
      <c r="Y285" s="1">
        <v>5850000</v>
      </c>
      <c r="Z285" s="5">
        <v>44098</v>
      </c>
      <c r="AA285" s="1">
        <v>5850000</v>
      </c>
      <c r="AB285" s="1" t="s">
        <v>177</v>
      </c>
      <c r="AC285" s="5">
        <v>44152</v>
      </c>
      <c r="AF285" s="1">
        <v>10023</v>
      </c>
      <c r="AI285" s="1" t="s">
        <v>207</v>
      </c>
      <c r="AJ285" s="1">
        <v>2019</v>
      </c>
      <c r="AK285" s="1" t="s">
        <v>49</v>
      </c>
      <c r="AL285" s="1">
        <v>38</v>
      </c>
    </row>
    <row r="286" spans="1:38" x14ac:dyDescent="0.2">
      <c r="A286" s="2" t="str">
        <f>HYPERLINK("https://www.compass.com/listing/155-west-126th-street-unit-garden-b-manhattan-ny-10027/597016559988520401/","155 W 126th St, Unit GARDEN B")</f>
        <v>155 W 126th St, Unit GARDEN B</v>
      </c>
      <c r="B286" s="2" t="str">
        <f>HYPERLINK("https://www.compass.com/building/155-w-126th-st-manhattan-ny-10027/281979223730651925/","155 W 126th St")</f>
        <v>155 W 126th St</v>
      </c>
      <c r="C286" s="1" t="s">
        <v>60</v>
      </c>
      <c r="D286" s="1" t="s">
        <v>41</v>
      </c>
      <c r="E286" s="3">
        <v>1150000</v>
      </c>
      <c r="F286" s="1">
        <v>809.85915492957702</v>
      </c>
      <c r="G286" s="1">
        <v>5</v>
      </c>
      <c r="H286" s="1">
        <v>2</v>
      </c>
      <c r="I286" s="1">
        <v>3</v>
      </c>
      <c r="J286" s="1">
        <v>2.5</v>
      </c>
      <c r="K286" s="1">
        <v>2</v>
      </c>
      <c r="L286" s="1">
        <v>1</v>
      </c>
      <c r="M286" s="4">
        <v>1420</v>
      </c>
      <c r="N286" s="1">
        <v>450</v>
      </c>
      <c r="O286" s="1">
        <v>1039</v>
      </c>
      <c r="P286" s="1">
        <v>589</v>
      </c>
      <c r="S286" s="1" t="s">
        <v>42</v>
      </c>
      <c r="T286" s="1" t="s">
        <v>153</v>
      </c>
      <c r="U286" s="1">
        <v>135</v>
      </c>
      <c r="V286" s="5">
        <v>44419</v>
      </c>
      <c r="W286" s="5">
        <v>44093</v>
      </c>
      <c r="X286" s="1">
        <v>1245000</v>
      </c>
      <c r="Y286" s="1">
        <v>1245000</v>
      </c>
      <c r="Z286" s="5">
        <v>44228</v>
      </c>
      <c r="AA286" s="1">
        <v>1150000</v>
      </c>
      <c r="AB286" s="1" t="s">
        <v>171</v>
      </c>
      <c r="AC286" s="5">
        <v>44312</v>
      </c>
      <c r="AF286" s="1">
        <v>10027</v>
      </c>
      <c r="AI286" s="1" t="s">
        <v>208</v>
      </c>
      <c r="AJ286" s="1">
        <v>1910</v>
      </c>
      <c r="AL286" s="1">
        <v>10</v>
      </c>
    </row>
    <row r="287" spans="1:38" x14ac:dyDescent="0.2">
      <c r="A287" s="2" t="str">
        <f>HYPERLINK("https://www.compass.com/listing/1890-adam-clayton-powell-junior-boulevard-unit-5e-manhattan-ny-10026/166462110233003393/","1890 Adam Clayton Powell Jr Blvd, Unit 5E")</f>
        <v>1890 Adam Clayton Powell Jr Blvd, Unit 5E</v>
      </c>
      <c r="B287" s="2" t="str">
        <f>HYPERLINK("https://www.compass.com/building/the-strathmore-manhattan-ny/815297250581742565/","The Strathmore")</f>
        <v>The Strathmore</v>
      </c>
      <c r="C287" s="1" t="s">
        <v>60</v>
      </c>
      <c r="D287" s="1" t="s">
        <v>41</v>
      </c>
      <c r="E287" s="3">
        <v>1685000</v>
      </c>
      <c r="F287" s="1">
        <v>1001.18835412953</v>
      </c>
      <c r="G287" s="1">
        <v>6</v>
      </c>
      <c r="H287" s="1">
        <v>3</v>
      </c>
      <c r="I287" s="1">
        <v>2</v>
      </c>
      <c r="J287" s="1">
        <v>2</v>
      </c>
      <c r="K287" s="1">
        <v>2</v>
      </c>
      <c r="M287" s="4">
        <v>1683</v>
      </c>
      <c r="N287" s="1">
        <v>1082</v>
      </c>
      <c r="O287" s="1">
        <v>1747</v>
      </c>
      <c r="P287" s="1">
        <v>665</v>
      </c>
      <c r="Q287" s="1" t="s">
        <v>42</v>
      </c>
      <c r="S287" s="1" t="s">
        <v>42</v>
      </c>
      <c r="T287" s="1" t="s">
        <v>153</v>
      </c>
      <c r="U287" s="1">
        <v>92</v>
      </c>
      <c r="V287" s="5">
        <v>43699</v>
      </c>
      <c r="W287" s="5">
        <v>43482</v>
      </c>
      <c r="X287" s="1">
        <v>1795000</v>
      </c>
      <c r="Y287" s="1">
        <v>1795000</v>
      </c>
      <c r="Z287" s="5">
        <v>43574</v>
      </c>
      <c r="AA287" s="1">
        <v>1685000</v>
      </c>
      <c r="AB287" s="1" t="s">
        <v>209</v>
      </c>
      <c r="AC287" s="5">
        <v>43641</v>
      </c>
      <c r="AF287" s="1">
        <v>10026</v>
      </c>
      <c r="AJ287" s="1">
        <v>1920</v>
      </c>
      <c r="AK287" s="1" t="s">
        <v>140</v>
      </c>
      <c r="AL287" s="1">
        <v>29</v>
      </c>
    </row>
    <row r="288" spans="1:38" x14ac:dyDescent="0.2">
      <c r="A288" s="2" t="str">
        <f>HYPERLINK("https://www.compass.com/listing/432-west-52nd-street-unit-2f-manhattan-ny-10019/4852350784504860705/","432 W 52nd St, Unit 2F")</f>
        <v>432 W 52nd St, Unit 2F</v>
      </c>
      <c r="B288" s="2" t="str">
        <f t="shared" ref="B288:B295" si="41">HYPERLINK("https://www.compass.com/building/432-w-52nd-st-manhattan-ny-10019/292847238378489941/","432 W 52nd St")</f>
        <v>432 W 52nd St</v>
      </c>
      <c r="C288" s="1" t="s">
        <v>67</v>
      </c>
      <c r="D288" s="1" t="s">
        <v>41</v>
      </c>
      <c r="E288" s="3">
        <v>865000</v>
      </c>
      <c r="F288" s="1">
        <v>1266.47144948755</v>
      </c>
      <c r="G288" s="1">
        <v>4</v>
      </c>
      <c r="H288" s="1">
        <v>1</v>
      </c>
      <c r="J288" s="1">
        <v>1</v>
      </c>
      <c r="M288" s="1">
        <v>683</v>
      </c>
      <c r="N288" s="1">
        <v>847</v>
      </c>
      <c r="O288" s="1">
        <v>1797</v>
      </c>
      <c r="P288" s="1">
        <v>950</v>
      </c>
      <c r="Q288" s="1" t="s">
        <v>42</v>
      </c>
      <c r="S288" s="1" t="s">
        <v>42</v>
      </c>
      <c r="T288" s="1" t="s">
        <v>153</v>
      </c>
      <c r="U288" s="1">
        <v>43</v>
      </c>
      <c r="V288" s="5">
        <v>42848</v>
      </c>
      <c r="W288" s="5">
        <v>42746</v>
      </c>
      <c r="X288" s="1">
        <v>950000</v>
      </c>
      <c r="Y288" s="1">
        <v>895000</v>
      </c>
      <c r="Z288" s="5">
        <v>42790</v>
      </c>
      <c r="AA288" s="1">
        <v>865000</v>
      </c>
      <c r="AB288" s="1" t="s">
        <v>210</v>
      </c>
      <c r="AC288" s="5">
        <v>42843</v>
      </c>
      <c r="AF288" s="1">
        <v>10019</v>
      </c>
      <c r="AI288" s="1" t="s">
        <v>55</v>
      </c>
      <c r="AJ288" s="1">
        <v>1950</v>
      </c>
      <c r="AK288" s="1" t="s">
        <v>121</v>
      </c>
      <c r="AL288" s="1">
        <v>55</v>
      </c>
    </row>
    <row r="289" spans="1:38" x14ac:dyDescent="0.2">
      <c r="A289" s="2" t="str">
        <f>HYPERLINK("https://www.compass.com/listing/432-west-52nd-street-unit-3b-manhattan-ny-10019/29389238432746481/","432 W 52nd St, Unit 3B")</f>
        <v>432 W 52nd St, Unit 3B</v>
      </c>
      <c r="B289" s="2" t="str">
        <f t="shared" si="41"/>
        <v>432 W 52nd St</v>
      </c>
      <c r="C289" s="1" t="s">
        <v>67</v>
      </c>
      <c r="D289" s="1" t="s">
        <v>41</v>
      </c>
      <c r="E289" s="3">
        <v>750000</v>
      </c>
      <c r="F289" s="1">
        <v>1674.1071428571399</v>
      </c>
      <c r="G289" s="1">
        <v>1</v>
      </c>
      <c r="H289" s="1" t="s">
        <v>94</v>
      </c>
      <c r="J289" s="1">
        <v>1</v>
      </c>
      <c r="M289" s="1">
        <v>448</v>
      </c>
      <c r="N289" s="1">
        <v>556</v>
      </c>
      <c r="O289" s="1">
        <v>1179</v>
      </c>
      <c r="P289" s="1">
        <v>623</v>
      </c>
      <c r="Q289" s="1" t="s">
        <v>42</v>
      </c>
      <c r="S289" s="1" t="s">
        <v>42</v>
      </c>
      <c r="T289" s="1" t="s">
        <v>153</v>
      </c>
      <c r="U289" s="1">
        <v>111</v>
      </c>
      <c r="V289" s="5">
        <v>43701</v>
      </c>
      <c r="W289" s="5">
        <v>42780</v>
      </c>
      <c r="Z289" s="5">
        <v>42891</v>
      </c>
      <c r="AA289" s="1">
        <v>750000</v>
      </c>
      <c r="AB289" s="1" t="s">
        <v>211</v>
      </c>
      <c r="AC289" s="5">
        <v>42933</v>
      </c>
      <c r="AF289" s="1">
        <v>10019</v>
      </c>
      <c r="AI289" s="1" t="s">
        <v>55</v>
      </c>
      <c r="AJ289" s="1">
        <v>1950</v>
      </c>
      <c r="AK289" s="1" t="s">
        <v>121</v>
      </c>
      <c r="AL289" s="1">
        <v>55</v>
      </c>
    </row>
    <row r="290" spans="1:38" x14ac:dyDescent="0.2">
      <c r="A290" s="2" t="str">
        <f>HYPERLINK("https://www.compass.com/listing/432-west-52nd-street-unit-4f-manhattan-ny-10019/4852349837724619137/","432 W 52nd St, Unit 4F")</f>
        <v>432 W 52nd St, Unit 4F</v>
      </c>
      <c r="B290" s="2" t="str">
        <f t="shared" si="41"/>
        <v>432 W 52nd St</v>
      </c>
      <c r="C290" s="1" t="s">
        <v>67</v>
      </c>
      <c r="D290" s="1" t="s">
        <v>41</v>
      </c>
      <c r="E290" s="3">
        <v>880000</v>
      </c>
      <c r="F290" s="1">
        <v>1288.4333821376199</v>
      </c>
      <c r="G290" s="1">
        <v>4</v>
      </c>
      <c r="H290" s="1">
        <v>1</v>
      </c>
      <c r="J290" s="1">
        <v>1</v>
      </c>
      <c r="M290" s="1">
        <v>683</v>
      </c>
      <c r="N290" s="1">
        <v>847</v>
      </c>
      <c r="O290" s="1">
        <v>1797</v>
      </c>
      <c r="P290" s="1">
        <v>950</v>
      </c>
      <c r="Q290" s="1" t="s">
        <v>136</v>
      </c>
      <c r="S290" s="1" t="s">
        <v>136</v>
      </c>
      <c r="T290" s="1" t="s">
        <v>153</v>
      </c>
      <c r="U290" s="1">
        <v>54</v>
      </c>
      <c r="V290" s="5">
        <v>43701</v>
      </c>
      <c r="W290" s="5">
        <v>42720</v>
      </c>
      <c r="X290" s="1">
        <v>995000</v>
      </c>
      <c r="Y290" s="1">
        <v>970000</v>
      </c>
      <c r="Z290" s="5">
        <v>42774</v>
      </c>
      <c r="AA290" s="1">
        <v>880000</v>
      </c>
      <c r="AB290" s="1" t="s">
        <v>212</v>
      </c>
      <c r="AC290" s="5">
        <v>42887</v>
      </c>
      <c r="AF290" s="1">
        <v>10019</v>
      </c>
      <c r="AI290" s="1" t="s">
        <v>55</v>
      </c>
      <c r="AJ290" s="1">
        <v>1950</v>
      </c>
      <c r="AK290" s="1" t="s">
        <v>121</v>
      </c>
      <c r="AL290" s="1">
        <v>55</v>
      </c>
    </row>
    <row r="291" spans="1:38" x14ac:dyDescent="0.2">
      <c r="A291" s="2" t="str">
        <f>HYPERLINK("https://www.compass.com/listing/432-west-52nd-street-unit-6f-manhattan-ny-10019/4852350519080921617/","432 W 52nd St, Unit 6F")</f>
        <v>432 W 52nd St, Unit 6F</v>
      </c>
      <c r="B291" s="2" t="str">
        <f t="shared" si="41"/>
        <v>432 W 52nd St</v>
      </c>
      <c r="C291" s="1" t="s">
        <v>67</v>
      </c>
      <c r="D291" s="1" t="s">
        <v>41</v>
      </c>
      <c r="E291" s="3">
        <v>935000</v>
      </c>
      <c r="F291" s="1">
        <v>1368.96046852122</v>
      </c>
      <c r="G291" s="1">
        <v>3</v>
      </c>
      <c r="H291" s="1">
        <v>1</v>
      </c>
      <c r="J291" s="1">
        <v>1</v>
      </c>
      <c r="M291" s="1">
        <v>683</v>
      </c>
      <c r="N291" s="1">
        <v>847</v>
      </c>
      <c r="O291" s="1">
        <v>1797</v>
      </c>
      <c r="P291" s="1">
        <v>950</v>
      </c>
      <c r="Q291" s="1" t="s">
        <v>42</v>
      </c>
      <c r="S291" s="1" t="s">
        <v>42</v>
      </c>
      <c r="T291" s="1" t="s">
        <v>153</v>
      </c>
      <c r="U291" s="1">
        <v>132</v>
      </c>
      <c r="V291" s="5">
        <v>43747</v>
      </c>
      <c r="W291" s="5">
        <v>42643</v>
      </c>
      <c r="X291" s="1">
        <v>1080000</v>
      </c>
      <c r="Y291" s="1">
        <v>950000</v>
      </c>
      <c r="Z291" s="5">
        <v>42850</v>
      </c>
      <c r="AA291" s="1">
        <v>935000</v>
      </c>
      <c r="AB291" s="1" t="s">
        <v>213</v>
      </c>
      <c r="AC291" s="5">
        <v>42885</v>
      </c>
      <c r="AF291" s="1">
        <v>10019</v>
      </c>
      <c r="AI291" s="1" t="s">
        <v>55</v>
      </c>
      <c r="AJ291" s="1">
        <v>1950</v>
      </c>
      <c r="AK291" s="1" t="s">
        <v>121</v>
      </c>
      <c r="AL291" s="1">
        <v>55</v>
      </c>
    </row>
    <row r="292" spans="1:38" x14ac:dyDescent="0.2">
      <c r="A292" s="2" t="str">
        <f>HYPERLINK("https://www.compass.com/listing/432-west-52nd-street-unit-5f-manhattan-ny-10019/4852351353999080657/","432 W 52nd St, Unit 5F")</f>
        <v>432 W 52nd St, Unit 5F</v>
      </c>
      <c r="B292" s="2" t="str">
        <f t="shared" si="41"/>
        <v>432 W 52nd St</v>
      </c>
      <c r="C292" s="1" t="s">
        <v>67</v>
      </c>
      <c r="D292" s="1" t="s">
        <v>41</v>
      </c>
      <c r="E292" s="3">
        <v>905000</v>
      </c>
      <c r="G292" s="1">
        <v>4</v>
      </c>
      <c r="H292" s="1">
        <v>1</v>
      </c>
      <c r="J292" s="1">
        <v>1</v>
      </c>
      <c r="N292" s="1">
        <v>847</v>
      </c>
      <c r="O292" s="1">
        <v>1797</v>
      </c>
      <c r="P292" s="1">
        <v>950</v>
      </c>
      <c r="Q292" s="1" t="s">
        <v>42</v>
      </c>
      <c r="S292" s="1" t="s">
        <v>42</v>
      </c>
      <c r="T292" s="1" t="s">
        <v>153</v>
      </c>
      <c r="V292" s="5">
        <v>43747</v>
      </c>
      <c r="Y292" s="1">
        <v>935000</v>
      </c>
      <c r="Z292" s="5">
        <v>42811</v>
      </c>
      <c r="AA292" s="1">
        <v>905000</v>
      </c>
      <c r="AB292" s="1" t="s">
        <v>214</v>
      </c>
      <c r="AC292" s="5">
        <v>42888</v>
      </c>
      <c r="AF292" s="1">
        <v>10019</v>
      </c>
      <c r="AI292" s="1" t="s">
        <v>55</v>
      </c>
      <c r="AJ292" s="1">
        <v>1950</v>
      </c>
      <c r="AK292" s="1" t="s">
        <v>121</v>
      </c>
      <c r="AL292" s="1">
        <v>55</v>
      </c>
    </row>
    <row r="293" spans="1:38" x14ac:dyDescent="0.2">
      <c r="A293" s="2" t="str">
        <f>HYPERLINK("https://www.compass.com/listing/432-west-52nd-street-unit-4c-manhattan-ny-10019/29514260962993601/","432 W 52nd St, Unit 4C")</f>
        <v>432 W 52nd St, Unit 4C</v>
      </c>
      <c r="B293" s="2" t="str">
        <f t="shared" si="41"/>
        <v>432 W 52nd St</v>
      </c>
      <c r="C293" s="1" t="s">
        <v>67</v>
      </c>
      <c r="D293" s="1" t="s">
        <v>41</v>
      </c>
      <c r="E293" s="3">
        <v>860000</v>
      </c>
      <c r="G293" s="1">
        <v>2</v>
      </c>
      <c r="H293" s="1">
        <v>1</v>
      </c>
      <c r="J293" s="1">
        <v>1</v>
      </c>
      <c r="N293" s="1">
        <v>737.41</v>
      </c>
      <c r="O293" s="1">
        <v>1583.74</v>
      </c>
      <c r="P293" s="1">
        <v>846.33333333333303</v>
      </c>
      <c r="Q293" s="1" t="s">
        <v>42</v>
      </c>
      <c r="S293" s="1" t="s">
        <v>42</v>
      </c>
      <c r="T293" s="1" t="s">
        <v>153</v>
      </c>
      <c r="U293" s="1">
        <v>26</v>
      </c>
      <c r="V293" s="5">
        <v>43343</v>
      </c>
      <c r="W293" s="5">
        <v>43260</v>
      </c>
      <c r="X293" s="1">
        <v>885000</v>
      </c>
      <c r="Y293" s="1">
        <v>885000</v>
      </c>
      <c r="Z293" s="5">
        <v>43286</v>
      </c>
      <c r="AA293" s="1">
        <v>860000</v>
      </c>
      <c r="AB293" s="1" t="s">
        <v>215</v>
      </c>
      <c r="AC293" s="5">
        <v>43340</v>
      </c>
      <c r="AF293" s="1">
        <v>10019</v>
      </c>
      <c r="AI293" s="1" t="s">
        <v>55</v>
      </c>
      <c r="AJ293" s="1">
        <v>1950</v>
      </c>
      <c r="AK293" s="1" t="s">
        <v>121</v>
      </c>
      <c r="AL293" s="1">
        <v>55</v>
      </c>
    </row>
    <row r="294" spans="1:38" x14ac:dyDescent="0.2">
      <c r="A294" s="2" t="str">
        <f>HYPERLINK("https://www.compass.com/listing/432-west-52nd-street-unit-ph7h-manhattan-ny-10019/4852351260952629985/","432 W 52nd St, Unit PH7H")</f>
        <v>432 W 52nd St, Unit PH7H</v>
      </c>
      <c r="B294" s="2" t="str">
        <f t="shared" si="41"/>
        <v>432 W 52nd St</v>
      </c>
      <c r="C294" s="1" t="s">
        <v>67</v>
      </c>
      <c r="D294" s="1" t="s">
        <v>41</v>
      </c>
      <c r="E294" s="3">
        <v>1150000</v>
      </c>
      <c r="G294" s="1">
        <v>4</v>
      </c>
      <c r="H294" s="1">
        <v>1</v>
      </c>
      <c r="J294" s="1">
        <v>1</v>
      </c>
      <c r="N294" s="1">
        <v>423</v>
      </c>
      <c r="O294" s="1">
        <v>1371</v>
      </c>
      <c r="P294" s="1">
        <v>948</v>
      </c>
      <c r="Q294" s="1" t="s">
        <v>42</v>
      </c>
      <c r="S294" s="1" t="s">
        <v>42</v>
      </c>
      <c r="T294" s="1" t="s">
        <v>153</v>
      </c>
      <c r="U294" s="1">
        <v>46</v>
      </c>
      <c r="V294" s="5">
        <v>42715</v>
      </c>
      <c r="W294" s="5">
        <v>42633</v>
      </c>
      <c r="X294" s="1">
        <v>1150000</v>
      </c>
      <c r="Y294" s="1">
        <v>1150000</v>
      </c>
      <c r="Z294" s="5">
        <v>42679</v>
      </c>
      <c r="AA294" s="1">
        <v>1150000</v>
      </c>
      <c r="AB294" s="1" t="s">
        <v>177</v>
      </c>
      <c r="AC294" s="5">
        <v>42715</v>
      </c>
      <c r="AF294" s="1">
        <v>10019</v>
      </c>
      <c r="AI294" s="1" t="s">
        <v>55</v>
      </c>
      <c r="AJ294" s="1">
        <v>1950</v>
      </c>
      <c r="AK294" s="1" t="s">
        <v>121</v>
      </c>
      <c r="AL294" s="1">
        <v>55</v>
      </c>
    </row>
    <row r="295" spans="1:38" x14ac:dyDescent="0.2">
      <c r="A295" s="2" t="str">
        <f>HYPERLINK("https://www.compass.com/listing/432-west-52nd-street-unit-3a-manhattan-ny-10019/4852351938324345345/","432 W 52nd St, Unit 3A")</f>
        <v>432 W 52nd St, Unit 3A</v>
      </c>
      <c r="B295" s="2" t="str">
        <f t="shared" si="41"/>
        <v>432 W 52nd St</v>
      </c>
      <c r="C295" s="1" t="s">
        <v>67</v>
      </c>
      <c r="D295" s="1" t="s">
        <v>41</v>
      </c>
      <c r="E295" s="3">
        <v>1370000</v>
      </c>
      <c r="F295" s="1">
        <v>1152.22876366694</v>
      </c>
      <c r="G295" s="1">
        <v>4</v>
      </c>
      <c r="H295" s="1">
        <v>2</v>
      </c>
      <c r="J295" s="1">
        <v>2</v>
      </c>
      <c r="M295" s="4">
        <v>1189</v>
      </c>
      <c r="N295" s="1">
        <v>974</v>
      </c>
      <c r="O295" s="1">
        <v>2628</v>
      </c>
      <c r="P295" s="1">
        <v>1654</v>
      </c>
      <c r="Q295" s="1" t="s">
        <v>42</v>
      </c>
      <c r="S295" s="1" t="s">
        <v>42</v>
      </c>
      <c r="T295" s="1" t="s">
        <v>153</v>
      </c>
      <c r="U295" s="1">
        <v>15</v>
      </c>
      <c r="V295" s="5">
        <v>43701</v>
      </c>
      <c r="W295" s="5">
        <v>42782</v>
      </c>
      <c r="X295" s="1">
        <v>1395000</v>
      </c>
      <c r="Y295" s="1">
        <v>1395000</v>
      </c>
      <c r="Z295" s="5">
        <v>42797</v>
      </c>
      <c r="AA295" s="1">
        <v>1370000</v>
      </c>
      <c r="AB295" s="1" t="s">
        <v>216</v>
      </c>
      <c r="AC295" s="5">
        <v>42915</v>
      </c>
      <c r="AF295" s="1">
        <v>10019</v>
      </c>
      <c r="AI295" s="1" t="s">
        <v>55</v>
      </c>
      <c r="AJ295" s="1">
        <v>1950</v>
      </c>
      <c r="AK295" s="1" t="s">
        <v>121</v>
      </c>
      <c r="AL295" s="1">
        <v>55</v>
      </c>
    </row>
    <row r="296" spans="1:38" x14ac:dyDescent="0.2">
      <c r="A296" s="2" t="str">
        <f>HYPERLINK("https://www.compass.com/listing/425-west-50th-street-unit-14c-manhattan-ny-10019/185567203901356593/","425 W 50th St, Unit 14C")</f>
        <v>425 W 50th St, Unit 14C</v>
      </c>
      <c r="B296" s="2" t="str">
        <f t="shared" ref="B296:B297" si="42">HYPERLINK("https://www.compass.com/building/stella-tower-manhattan-ny/281945855710262181/","Stella Tower")</f>
        <v>Stella Tower</v>
      </c>
      <c r="C296" s="1" t="s">
        <v>67</v>
      </c>
      <c r="D296" s="1" t="s">
        <v>41</v>
      </c>
      <c r="E296" s="3">
        <v>1800000</v>
      </c>
      <c r="F296" s="1">
        <v>1960.7843137254899</v>
      </c>
      <c r="G296" s="1">
        <v>3</v>
      </c>
      <c r="H296" s="1">
        <v>1</v>
      </c>
      <c r="I296" s="1">
        <v>2</v>
      </c>
      <c r="J296" s="1">
        <v>1.5</v>
      </c>
      <c r="K296" s="1">
        <v>1</v>
      </c>
      <c r="L296" s="1">
        <v>1</v>
      </c>
      <c r="M296" s="1">
        <v>918</v>
      </c>
      <c r="N296" s="1">
        <v>1133</v>
      </c>
      <c r="O296" s="1">
        <v>2393</v>
      </c>
      <c r="P296" s="1">
        <v>1260</v>
      </c>
      <c r="Q296" s="1" t="s">
        <v>42</v>
      </c>
      <c r="S296" s="1" t="s">
        <v>42</v>
      </c>
      <c r="T296" s="1" t="s">
        <v>153</v>
      </c>
      <c r="U296" s="1">
        <v>52</v>
      </c>
      <c r="V296" s="5">
        <v>43684</v>
      </c>
      <c r="W296" s="5">
        <v>43579</v>
      </c>
      <c r="X296" s="1">
        <v>1850000</v>
      </c>
      <c r="Y296" s="1">
        <v>1850000</v>
      </c>
      <c r="Z296" s="5">
        <v>43631</v>
      </c>
      <c r="AA296" s="1">
        <v>1800000</v>
      </c>
      <c r="AB296" s="1" t="s">
        <v>217</v>
      </c>
      <c r="AC296" s="5">
        <v>43677</v>
      </c>
      <c r="AF296" s="1">
        <v>10019</v>
      </c>
      <c r="AI296" s="1" t="s">
        <v>45</v>
      </c>
      <c r="AJ296" s="1">
        <v>1930</v>
      </c>
      <c r="AK296" s="1" t="s">
        <v>49</v>
      </c>
      <c r="AL296" s="1">
        <v>51</v>
      </c>
    </row>
    <row r="297" spans="1:38" x14ac:dyDescent="0.2">
      <c r="A297" s="2" t="str">
        <f>HYPERLINK("https://www.compass.com/listing/425-west-50th-street-unit-10j-manhattan-ny-10019/436820726466220313/","425 W 50th St, Unit 10J")</f>
        <v>425 W 50th St, Unit 10J</v>
      </c>
      <c r="B297" s="2" t="str">
        <f t="shared" si="42"/>
        <v>Stella Tower</v>
      </c>
      <c r="C297" s="1" t="s">
        <v>67</v>
      </c>
      <c r="D297" s="1" t="s">
        <v>41</v>
      </c>
      <c r="E297" s="3">
        <v>1475000</v>
      </c>
      <c r="F297" s="1">
        <v>1414.1898370086201</v>
      </c>
      <c r="G297" s="1">
        <v>3</v>
      </c>
      <c r="H297" s="1">
        <v>1</v>
      </c>
      <c r="I297" s="1">
        <v>1</v>
      </c>
      <c r="J297" s="1">
        <v>1</v>
      </c>
      <c r="K297" s="1">
        <v>1</v>
      </c>
      <c r="M297" s="4">
        <v>1043</v>
      </c>
      <c r="N297" s="1">
        <v>1411</v>
      </c>
      <c r="O297" s="1">
        <v>2751</v>
      </c>
      <c r="P297" s="1">
        <v>1340</v>
      </c>
      <c r="Q297" s="1" t="s">
        <v>42</v>
      </c>
      <c r="S297" s="1" t="s">
        <v>42</v>
      </c>
      <c r="T297" s="1" t="s">
        <v>153</v>
      </c>
      <c r="U297" s="1">
        <v>140</v>
      </c>
      <c r="V297" s="5">
        <v>44239</v>
      </c>
      <c r="W297" s="5">
        <v>43859</v>
      </c>
      <c r="X297" s="1">
        <v>1595000</v>
      </c>
      <c r="Y297" s="1">
        <v>1525000</v>
      </c>
      <c r="Z297" s="5">
        <v>44180</v>
      </c>
      <c r="AA297" s="1">
        <v>1475000</v>
      </c>
      <c r="AB297" s="1" t="s">
        <v>218</v>
      </c>
      <c r="AC297" s="5">
        <v>44235</v>
      </c>
      <c r="AF297" s="1">
        <v>10019</v>
      </c>
      <c r="AI297" s="1" t="s">
        <v>45</v>
      </c>
      <c r="AJ297" s="1">
        <v>1930</v>
      </c>
      <c r="AK297" s="1" t="s">
        <v>49</v>
      </c>
      <c r="AL297" s="1">
        <v>51</v>
      </c>
    </row>
    <row r="298" spans="1:38" x14ac:dyDescent="0.2">
      <c r="A298" s="2" t="str">
        <f>HYPERLINK("https://www.compass.com/listing/432-west-52nd-street-unit-6a-manhattan-ny-10019/4852350363128312081/","432 W 52nd St, Unit 6A")</f>
        <v>432 W 52nd St, Unit 6A</v>
      </c>
      <c r="B298" s="2" t="str">
        <f>HYPERLINK("https://www.compass.com/building/432-w-52nd-st-manhattan-ny-10019/292847238378489941/","432 W 52nd St")</f>
        <v>432 W 52nd St</v>
      </c>
      <c r="C298" s="1" t="s">
        <v>67</v>
      </c>
      <c r="D298" s="1" t="s">
        <v>41</v>
      </c>
      <c r="E298" s="3">
        <v>1490000</v>
      </c>
      <c r="F298" s="1">
        <v>1253.1539108494501</v>
      </c>
      <c r="G298" s="1">
        <v>5</v>
      </c>
      <c r="H298" s="1">
        <v>2</v>
      </c>
      <c r="J298" s="1">
        <v>2</v>
      </c>
      <c r="M298" s="4">
        <v>1189</v>
      </c>
      <c r="N298" s="1">
        <v>738</v>
      </c>
      <c r="O298" s="1">
        <v>2392</v>
      </c>
      <c r="P298" s="1">
        <v>1654</v>
      </c>
      <c r="Q298" s="1" t="s">
        <v>42</v>
      </c>
      <c r="S298" s="1" t="s">
        <v>42</v>
      </c>
      <c r="T298" s="1" t="s">
        <v>153</v>
      </c>
      <c r="U298" s="1">
        <v>143</v>
      </c>
      <c r="V298" s="5">
        <v>42876</v>
      </c>
      <c r="W298" s="5">
        <v>42637</v>
      </c>
      <c r="X298" s="1">
        <v>1575000</v>
      </c>
      <c r="Y298" s="1">
        <v>1500000</v>
      </c>
      <c r="Z298" s="5">
        <v>42781</v>
      </c>
      <c r="AA298" s="1">
        <v>1490000</v>
      </c>
      <c r="AB298" s="1" t="s">
        <v>219</v>
      </c>
      <c r="AC298" s="5">
        <v>42871</v>
      </c>
      <c r="AF298" s="1">
        <v>10019</v>
      </c>
      <c r="AI298" s="1" t="s">
        <v>55</v>
      </c>
      <c r="AJ298" s="1">
        <v>1950</v>
      </c>
      <c r="AK298" s="1" t="s">
        <v>69</v>
      </c>
      <c r="AL298" s="1">
        <v>55</v>
      </c>
    </row>
    <row r="299" spans="1:38" x14ac:dyDescent="0.2">
      <c r="A299" s="2" t="str">
        <f>HYPERLINK("https://www.compass.com/listing/57-west-127th-street-unit-garden-manhattan-ny-10027/236095082372046305/","57 W 127th St, Unit GARDEN")</f>
        <v>57 W 127th St, Unit GARDEN</v>
      </c>
      <c r="B299" s="2" t="str">
        <f>HYPERLINK("https://www.compass.com/building/san-giorgio-manhattan-ny/281983292037763781/","San Giorgio")</f>
        <v>San Giorgio</v>
      </c>
      <c r="C299" s="1" t="s">
        <v>141</v>
      </c>
      <c r="D299" s="1" t="s">
        <v>41</v>
      </c>
      <c r="E299" s="3">
        <v>1100000</v>
      </c>
      <c r="G299" s="1">
        <v>4</v>
      </c>
      <c r="H299" s="1">
        <v>2</v>
      </c>
      <c r="I299" s="1">
        <v>2</v>
      </c>
      <c r="J299" s="1">
        <v>2</v>
      </c>
      <c r="K299" s="1">
        <v>2</v>
      </c>
      <c r="N299" s="1">
        <v>694</v>
      </c>
      <c r="O299" s="1">
        <v>1106</v>
      </c>
      <c r="P299" s="1">
        <v>412</v>
      </c>
      <c r="S299" s="1" t="s">
        <v>42</v>
      </c>
      <c r="T299" s="1" t="s">
        <v>153</v>
      </c>
      <c r="U299" s="1">
        <v>83</v>
      </c>
      <c r="V299" s="5">
        <v>43699</v>
      </c>
      <c r="W299" s="5">
        <v>43585</v>
      </c>
      <c r="X299" s="1">
        <v>1150000</v>
      </c>
      <c r="Y299" s="1">
        <v>1150000</v>
      </c>
      <c r="Z299" s="5">
        <v>43669</v>
      </c>
      <c r="AA299" s="1">
        <v>1100000</v>
      </c>
      <c r="AB299" s="1" t="s">
        <v>177</v>
      </c>
      <c r="AC299" s="5">
        <v>43699</v>
      </c>
      <c r="AF299" s="1">
        <v>10027</v>
      </c>
      <c r="AJ299" s="1">
        <v>1899</v>
      </c>
      <c r="AL299" s="1">
        <v>6</v>
      </c>
    </row>
    <row r="300" spans="1:38" x14ac:dyDescent="0.2">
      <c r="A300" s="2" t="str">
        <f>HYPERLINK("https://www.compass.com/listing/2457-frederick-douglass-boulevard-unit-2a-manhattan-ny-10027/471535250256966401/","2457 Frederick Douglass Blvd, Unit 2A")</f>
        <v>2457 Frederick Douglass Blvd, Unit 2A</v>
      </c>
      <c r="B300" s="2" t="str">
        <f t="shared" ref="B300:B303" si="43">HYPERLINK("https://www.compass.com/building/2457-frederick-douglass-blvd-manhattan-ny-10027/293531002213539157/","2457 Frederick Douglass Blvd")</f>
        <v>2457 Frederick Douglass Blvd</v>
      </c>
      <c r="C300" s="1" t="s">
        <v>141</v>
      </c>
      <c r="D300" s="1" t="s">
        <v>41</v>
      </c>
      <c r="E300" s="3">
        <v>630000</v>
      </c>
      <c r="F300" s="1">
        <v>975.23219814241395</v>
      </c>
      <c r="G300" s="1">
        <v>3</v>
      </c>
      <c r="H300" s="1">
        <v>1</v>
      </c>
      <c r="I300" s="1">
        <v>1</v>
      </c>
      <c r="J300" s="1">
        <v>1</v>
      </c>
      <c r="K300" s="1">
        <v>1</v>
      </c>
      <c r="M300" s="1">
        <v>646</v>
      </c>
      <c r="N300" s="1">
        <v>384</v>
      </c>
      <c r="O300" s="1">
        <v>516</v>
      </c>
      <c r="P300" s="1">
        <v>132</v>
      </c>
      <c r="Q300" s="1" t="s">
        <v>42</v>
      </c>
      <c r="S300" s="1" t="s">
        <v>42</v>
      </c>
      <c r="T300" s="1" t="s">
        <v>153</v>
      </c>
      <c r="U300" s="1">
        <v>86</v>
      </c>
      <c r="V300" s="5">
        <v>44119</v>
      </c>
      <c r="W300" s="5">
        <v>43910</v>
      </c>
      <c r="X300" s="1">
        <v>622000</v>
      </c>
      <c r="Y300" s="1">
        <v>622000</v>
      </c>
      <c r="Z300" s="5">
        <v>44090</v>
      </c>
      <c r="AA300" s="1">
        <v>630000</v>
      </c>
      <c r="AB300" s="1" t="s">
        <v>220</v>
      </c>
      <c r="AC300" s="5">
        <v>44118</v>
      </c>
      <c r="AF300" s="1">
        <v>10027</v>
      </c>
      <c r="AI300" s="1" t="s">
        <v>221</v>
      </c>
      <c r="AJ300" s="1">
        <v>2019</v>
      </c>
      <c r="AL300" s="1">
        <v>1</v>
      </c>
    </row>
    <row r="301" spans="1:38" x14ac:dyDescent="0.2">
      <c r="A301" s="2" t="str">
        <f>HYPERLINK("https://www.compass.com/listing/2457-frederick-douglass-boulevard-unit-5a-manhattan-ny-10027/476727768383230537/","2457 Frederick Douglass Blvd, Unit 5A")</f>
        <v>2457 Frederick Douglass Blvd, Unit 5A</v>
      </c>
      <c r="B301" s="2" t="str">
        <f t="shared" si="43"/>
        <v>2457 Frederick Douglass Blvd</v>
      </c>
      <c r="C301" s="1" t="s">
        <v>141</v>
      </c>
      <c r="D301" s="1" t="s">
        <v>41</v>
      </c>
      <c r="E301" s="3">
        <v>1400000</v>
      </c>
      <c r="F301" s="1">
        <v>900.32154340835996</v>
      </c>
      <c r="G301" s="1">
        <v>5</v>
      </c>
      <c r="H301" s="1">
        <v>2</v>
      </c>
      <c r="I301" s="1">
        <v>2</v>
      </c>
      <c r="J301" s="1">
        <v>2</v>
      </c>
      <c r="K301" s="1">
        <v>2</v>
      </c>
      <c r="M301" s="4">
        <v>1555</v>
      </c>
      <c r="N301" s="1">
        <v>923</v>
      </c>
      <c r="O301" s="1">
        <v>1228</v>
      </c>
      <c r="P301" s="1">
        <v>305</v>
      </c>
      <c r="Q301" s="1" t="s">
        <v>42</v>
      </c>
      <c r="S301" s="1" t="s">
        <v>42</v>
      </c>
      <c r="T301" s="1" t="s">
        <v>153</v>
      </c>
      <c r="V301" s="5">
        <v>43988</v>
      </c>
      <c r="W301" s="5">
        <v>43963</v>
      </c>
      <c r="X301" s="1">
        <v>1573000</v>
      </c>
      <c r="Y301" s="1">
        <v>1573000</v>
      </c>
      <c r="Z301" s="5">
        <v>43964</v>
      </c>
      <c r="AA301" s="1">
        <v>1400000</v>
      </c>
      <c r="AB301" s="1" t="s">
        <v>222</v>
      </c>
      <c r="AC301" s="5">
        <v>44104</v>
      </c>
      <c r="AF301" s="1">
        <v>10027</v>
      </c>
      <c r="AI301" s="1" t="s">
        <v>207</v>
      </c>
      <c r="AJ301" s="1">
        <v>2019</v>
      </c>
      <c r="AL301" s="1">
        <v>1</v>
      </c>
    </row>
    <row r="302" spans="1:38" x14ac:dyDescent="0.2">
      <c r="A302" s="2" t="str">
        <f>HYPERLINK("https://www.compass.com/listing/2457-frederick-douglass-boulevard-unit-2b-manhattan-ny-10027/607224264323757929/","2457 Frederick Douglass Blvd, Unit 2B")</f>
        <v>2457 Frederick Douglass Blvd, Unit 2B</v>
      </c>
      <c r="B302" s="2" t="str">
        <f t="shared" si="43"/>
        <v>2457 Frederick Douglass Blvd</v>
      </c>
      <c r="C302" s="1" t="s">
        <v>141</v>
      </c>
      <c r="D302" s="1" t="s">
        <v>41</v>
      </c>
      <c r="E302" s="3">
        <v>681000</v>
      </c>
      <c r="F302" s="1">
        <v>965.95744680850999</v>
      </c>
      <c r="G302" s="1">
        <v>3</v>
      </c>
      <c r="H302" s="1">
        <v>1</v>
      </c>
      <c r="I302" s="1">
        <v>1</v>
      </c>
      <c r="J302" s="1">
        <v>1</v>
      </c>
      <c r="K302" s="1">
        <v>1</v>
      </c>
      <c r="M302" s="1">
        <v>705</v>
      </c>
      <c r="N302" s="1">
        <v>404</v>
      </c>
      <c r="O302" s="1">
        <v>537</v>
      </c>
      <c r="P302" s="1">
        <v>133</v>
      </c>
      <c r="Q302" s="1" t="s">
        <v>42</v>
      </c>
      <c r="S302" s="1" t="s">
        <v>42</v>
      </c>
      <c r="T302" s="1" t="s">
        <v>153</v>
      </c>
      <c r="U302" s="1">
        <v>86</v>
      </c>
      <c r="V302" s="5">
        <v>44207</v>
      </c>
      <c r="W302" s="5">
        <v>44090</v>
      </c>
      <c r="X302" s="1">
        <v>681000</v>
      </c>
      <c r="Y302" s="1">
        <v>681000</v>
      </c>
      <c r="Z302" s="5">
        <v>44195</v>
      </c>
      <c r="AA302" s="1">
        <v>681000</v>
      </c>
      <c r="AB302" s="1" t="s">
        <v>223</v>
      </c>
      <c r="AC302" s="5">
        <v>44176</v>
      </c>
      <c r="AF302" s="1">
        <v>10027</v>
      </c>
      <c r="AI302" s="1" t="s">
        <v>107</v>
      </c>
      <c r="AJ302" s="1">
        <v>2019</v>
      </c>
      <c r="AL302" s="1">
        <v>1</v>
      </c>
    </row>
    <row r="303" spans="1:38" x14ac:dyDescent="0.2">
      <c r="A303" s="2" t="str">
        <f>HYPERLINK("https://www.compass.com/listing/2457-frederick-douglass-boulevard-unit-4b-manhattan-ny-10027/507899491056898713/","2457 Frederick Douglass Blvd, Unit 4B")</f>
        <v>2457 Frederick Douglass Blvd, Unit 4B</v>
      </c>
      <c r="B303" s="2" t="str">
        <f t="shared" si="43"/>
        <v>2457 Frederick Douglass Blvd</v>
      </c>
      <c r="C303" s="1" t="s">
        <v>141</v>
      </c>
      <c r="D303" s="1" t="s">
        <v>41</v>
      </c>
      <c r="E303" s="3">
        <v>702500</v>
      </c>
      <c r="F303" s="1">
        <v>997.86931818181802</v>
      </c>
      <c r="G303" s="1">
        <v>2</v>
      </c>
      <c r="H303" s="1">
        <v>1</v>
      </c>
      <c r="I303" s="1">
        <v>1</v>
      </c>
      <c r="J303" s="1">
        <v>1</v>
      </c>
      <c r="K303" s="1">
        <v>1</v>
      </c>
      <c r="M303" s="1">
        <v>704</v>
      </c>
      <c r="N303" s="1">
        <v>416</v>
      </c>
      <c r="O303" s="1">
        <v>553</v>
      </c>
      <c r="P303" s="1">
        <v>137</v>
      </c>
      <c r="Q303" s="1" t="s">
        <v>42</v>
      </c>
      <c r="S303" s="1" t="s">
        <v>42</v>
      </c>
      <c r="T303" s="1" t="s">
        <v>153</v>
      </c>
      <c r="U303" s="1">
        <v>58</v>
      </c>
      <c r="V303" s="5">
        <v>44209</v>
      </c>
      <c r="W303" s="5">
        <v>43953</v>
      </c>
      <c r="X303" s="1">
        <v>727000</v>
      </c>
      <c r="Y303" s="1">
        <v>727000</v>
      </c>
      <c r="Z303" s="5">
        <v>44062</v>
      </c>
      <c r="AA303" s="1">
        <v>702500</v>
      </c>
      <c r="AB303" s="1" t="s">
        <v>224</v>
      </c>
      <c r="AC303" s="5">
        <v>44201</v>
      </c>
      <c r="AF303" s="1">
        <v>10027</v>
      </c>
      <c r="AI303" s="1" t="s">
        <v>225</v>
      </c>
      <c r="AJ303" s="1">
        <v>2019</v>
      </c>
      <c r="AL303" s="1">
        <v>1</v>
      </c>
    </row>
    <row r="304" spans="1:38" x14ac:dyDescent="0.2">
      <c r="A304" s="2" t="str">
        <f>HYPERLINK("https://www.compass.com/listing/575-main-street-unit-1110-manhattan-ny-10044/197205843660260161/","575 Main St, Unit 1110")</f>
        <v>575 Main St, Unit 1110</v>
      </c>
      <c r="B304" s="2" t="str">
        <f t="shared" ref="B304:B307" si="44">HYPERLINK("https://www.compass.com/building/island-house-manhattan-ny/282065365649887429/","Island House")</f>
        <v>Island House</v>
      </c>
      <c r="C304" s="1" t="s">
        <v>116</v>
      </c>
      <c r="D304" s="1" t="s">
        <v>41</v>
      </c>
      <c r="E304" s="3">
        <v>1265000</v>
      </c>
      <c r="G304" s="1">
        <v>5</v>
      </c>
      <c r="H304" s="1">
        <v>3</v>
      </c>
      <c r="I304" s="1">
        <v>3</v>
      </c>
      <c r="J304" s="1">
        <v>2.5</v>
      </c>
      <c r="K304" s="1">
        <v>2</v>
      </c>
      <c r="L304" s="1">
        <v>1</v>
      </c>
      <c r="N304" s="1">
        <v>138</v>
      </c>
      <c r="O304" s="1">
        <v>1822</v>
      </c>
      <c r="S304" s="1" t="s">
        <v>117</v>
      </c>
      <c r="T304" s="1" t="s">
        <v>153</v>
      </c>
      <c r="U304" s="1">
        <v>29</v>
      </c>
      <c r="V304" s="5">
        <v>43656</v>
      </c>
      <c r="W304" s="5">
        <v>43524</v>
      </c>
      <c r="X304" s="1">
        <v>1265000</v>
      </c>
      <c r="Y304" s="1">
        <v>1265000</v>
      </c>
      <c r="Z304" s="5">
        <v>43554</v>
      </c>
      <c r="AA304" s="1">
        <v>1265000</v>
      </c>
      <c r="AB304" s="1" t="s">
        <v>177</v>
      </c>
      <c r="AC304" s="5">
        <v>43656</v>
      </c>
      <c r="AF304" s="1">
        <v>10044</v>
      </c>
      <c r="AJ304" s="1">
        <v>1975</v>
      </c>
      <c r="AK304" s="1" t="s">
        <v>99</v>
      </c>
      <c r="AL304" s="1">
        <v>400</v>
      </c>
    </row>
    <row r="305" spans="1:38" x14ac:dyDescent="0.2">
      <c r="A305" s="2" t="str">
        <f>HYPERLINK("https://www.compass.com/listing/575-main-street-unit-710-manhattan-ny-10044/288360248538836817/","575 Main St, Unit 710")</f>
        <v>575 Main St, Unit 710</v>
      </c>
      <c r="B305" s="2" t="str">
        <f t="shared" si="44"/>
        <v>Island House</v>
      </c>
      <c r="C305" s="1" t="s">
        <v>116</v>
      </c>
      <c r="D305" s="1" t="s">
        <v>41</v>
      </c>
      <c r="E305" s="3">
        <v>1250000</v>
      </c>
      <c r="G305" s="1">
        <v>5</v>
      </c>
      <c r="H305" s="1">
        <v>3</v>
      </c>
      <c r="I305" s="1">
        <v>3</v>
      </c>
      <c r="J305" s="1">
        <v>2.5</v>
      </c>
      <c r="K305" s="1">
        <v>2</v>
      </c>
      <c r="L305" s="1">
        <v>1</v>
      </c>
      <c r="N305" s="1">
        <v>1623</v>
      </c>
      <c r="O305" s="1">
        <v>1776</v>
      </c>
      <c r="S305" s="1" t="s">
        <v>117</v>
      </c>
      <c r="T305" s="1" t="s">
        <v>153</v>
      </c>
      <c r="U305" s="1">
        <v>106</v>
      </c>
      <c r="V305" s="5">
        <v>43893</v>
      </c>
      <c r="W305" s="5">
        <v>43655</v>
      </c>
      <c r="X305" s="1">
        <v>1250000</v>
      </c>
      <c r="Y305" s="1">
        <v>1250000</v>
      </c>
      <c r="Z305" s="5">
        <v>43873</v>
      </c>
      <c r="AA305" s="1">
        <v>1250000</v>
      </c>
      <c r="AB305" s="1" t="s">
        <v>177</v>
      </c>
      <c r="AC305" s="5">
        <v>43893</v>
      </c>
      <c r="AF305" s="1">
        <v>10044</v>
      </c>
      <c r="AJ305" s="1">
        <v>1975</v>
      </c>
      <c r="AK305" s="1" t="s">
        <v>86</v>
      </c>
      <c r="AL305" s="1">
        <v>400</v>
      </c>
    </row>
    <row r="306" spans="1:38" x14ac:dyDescent="0.2">
      <c r="A306" s="2" t="str">
        <f>HYPERLINK("https://www.compass.com/listing/575-main-street-unit-1312-manhattan-ny-10044/461447154222516249/","575 Main St, Unit 1312")</f>
        <v>575 Main St, Unit 1312</v>
      </c>
      <c r="B306" s="2" t="str">
        <f t="shared" si="44"/>
        <v>Island House</v>
      </c>
      <c r="C306" s="1" t="s">
        <v>116</v>
      </c>
      <c r="D306" s="1" t="s">
        <v>41</v>
      </c>
      <c r="E306" s="3">
        <v>1275000</v>
      </c>
      <c r="G306" s="1">
        <v>5</v>
      </c>
      <c r="H306" s="1">
        <v>3</v>
      </c>
      <c r="I306" s="1">
        <v>3</v>
      </c>
      <c r="J306" s="1">
        <v>2.5</v>
      </c>
      <c r="K306" s="1">
        <v>2</v>
      </c>
      <c r="L306" s="1">
        <v>1</v>
      </c>
      <c r="N306" s="1">
        <v>1573</v>
      </c>
      <c r="O306" s="1">
        <v>1717</v>
      </c>
      <c r="S306" s="1" t="s">
        <v>117</v>
      </c>
      <c r="T306" s="1" t="s">
        <v>153</v>
      </c>
      <c r="V306" s="5">
        <v>43926</v>
      </c>
      <c r="Y306" s="1">
        <v>1275000</v>
      </c>
      <c r="Z306" s="5">
        <v>43889</v>
      </c>
      <c r="AA306" s="1">
        <v>1275000</v>
      </c>
      <c r="AB306" s="1" t="s">
        <v>177</v>
      </c>
      <c r="AC306" s="5">
        <v>43926</v>
      </c>
      <c r="AF306" s="1">
        <v>10044</v>
      </c>
      <c r="AJ306" s="1">
        <v>1975</v>
      </c>
      <c r="AK306" s="1" t="s">
        <v>99</v>
      </c>
      <c r="AL306" s="1">
        <v>400</v>
      </c>
    </row>
    <row r="307" spans="1:38" x14ac:dyDescent="0.2">
      <c r="A307" s="2" t="str">
        <f>HYPERLINK("https://www.compass.com/listing/575-main-street-unit-314-manhattan-ny-10044/370102230602383937/","575 Main St, Unit 314")</f>
        <v>575 Main St, Unit 314</v>
      </c>
      <c r="B307" s="2" t="str">
        <f t="shared" si="44"/>
        <v>Island House</v>
      </c>
      <c r="C307" s="1" t="s">
        <v>116</v>
      </c>
      <c r="D307" s="1" t="s">
        <v>41</v>
      </c>
      <c r="E307" s="3">
        <v>1325000</v>
      </c>
      <c r="F307" s="1">
        <v>800.12077294685901</v>
      </c>
      <c r="G307" s="1">
        <v>5</v>
      </c>
      <c r="H307" s="1">
        <v>3</v>
      </c>
      <c r="I307" s="1">
        <v>3</v>
      </c>
      <c r="J307" s="1">
        <v>3</v>
      </c>
      <c r="K307" s="1">
        <v>3</v>
      </c>
      <c r="M307" s="4">
        <v>1656</v>
      </c>
      <c r="N307" s="1">
        <v>1656</v>
      </c>
      <c r="O307" s="1">
        <v>1805</v>
      </c>
      <c r="S307" s="1" t="s">
        <v>117</v>
      </c>
      <c r="T307" s="1" t="s">
        <v>153</v>
      </c>
      <c r="U307" s="1">
        <v>71</v>
      </c>
      <c r="V307" s="5">
        <v>43914</v>
      </c>
      <c r="W307" s="5">
        <v>43762</v>
      </c>
      <c r="X307" s="1">
        <v>1325000</v>
      </c>
      <c r="Y307" s="1">
        <v>1325000</v>
      </c>
      <c r="Z307" s="5">
        <v>43834</v>
      </c>
      <c r="AA307" s="1">
        <v>1325000</v>
      </c>
      <c r="AB307" s="1" t="s">
        <v>177</v>
      </c>
      <c r="AC307" s="5">
        <v>43914</v>
      </c>
      <c r="AF307" s="1">
        <v>10044</v>
      </c>
      <c r="AI307" s="1" t="s">
        <v>107</v>
      </c>
      <c r="AJ307" s="1">
        <v>1975</v>
      </c>
      <c r="AK307" s="1" t="s">
        <v>86</v>
      </c>
      <c r="AL307" s="1">
        <v>400</v>
      </c>
    </row>
    <row r="308" spans="1:38" x14ac:dyDescent="0.2">
      <c r="A308" s="2" t="str">
        <f>HYPERLINK("https://www.compass.com/listing/506-east-119th-street-unit-2-manhattan-ny-10035/29514241895590753/","506 E 119th St, Unit 2")</f>
        <v>506 E 119th St, Unit 2</v>
      </c>
      <c r="B308" s="2" t="str">
        <f>HYPERLINK("https://www.compass.com/building/506-e-119th-st-manhattan-ny-10035/282022266961665733/","506 E 119th St")</f>
        <v>506 E 119th St</v>
      </c>
      <c r="C308" s="1" t="s">
        <v>226</v>
      </c>
      <c r="D308" s="1" t="s">
        <v>41</v>
      </c>
      <c r="E308" s="3">
        <v>845000</v>
      </c>
      <c r="F308" s="1">
        <v>704.16666666666595</v>
      </c>
      <c r="G308" s="1">
        <v>5</v>
      </c>
      <c r="H308" s="1">
        <v>3</v>
      </c>
      <c r="J308" s="1">
        <v>2</v>
      </c>
      <c r="M308" s="4">
        <v>1200</v>
      </c>
      <c r="N308" s="1">
        <v>513</v>
      </c>
      <c r="O308" s="1">
        <v>707</v>
      </c>
      <c r="P308" s="1">
        <v>194</v>
      </c>
      <c r="Q308" s="1" t="s">
        <v>42</v>
      </c>
      <c r="S308" s="1" t="s">
        <v>42</v>
      </c>
      <c r="T308" s="1" t="s">
        <v>153</v>
      </c>
      <c r="U308" s="1">
        <v>46</v>
      </c>
      <c r="V308" s="5">
        <v>43314</v>
      </c>
      <c r="W308" s="5">
        <v>43223</v>
      </c>
      <c r="X308" s="1">
        <v>875000</v>
      </c>
      <c r="Y308" s="1">
        <v>875000</v>
      </c>
      <c r="Z308" s="5">
        <v>43270</v>
      </c>
      <c r="AA308" s="1">
        <v>845000</v>
      </c>
      <c r="AB308" s="1" t="s">
        <v>227</v>
      </c>
      <c r="AC308" s="5">
        <v>43308</v>
      </c>
      <c r="AF308" s="1">
        <v>10035</v>
      </c>
      <c r="AI308" s="1" t="s">
        <v>96</v>
      </c>
      <c r="AJ308" s="1">
        <v>1900</v>
      </c>
      <c r="AL308" s="1">
        <v>4</v>
      </c>
    </row>
    <row r="309" spans="1:38" x14ac:dyDescent="0.2">
      <c r="A309" s="2" t="str">
        <f>HYPERLINK("https://www.compass.com/listing/350-w-71st-st-unit-maisonette-a-manhattan-ny-10023/296906261731906065/","350 W 71st St, Unit Maisonette A")</f>
        <v>350 W 71st St, Unit Maisonette A</v>
      </c>
      <c r="B309" s="2" t="str">
        <f t="shared" ref="B309:B311" si="45">HYPERLINK("https://www.compass.com/building/350-west-71st-street-manhattan-ny/282058856064910533/","350 West 71st Street")</f>
        <v>350 West 71st Street</v>
      </c>
      <c r="C309" s="1" t="s">
        <v>78</v>
      </c>
      <c r="D309" s="1" t="s">
        <v>41</v>
      </c>
      <c r="E309" s="3">
        <v>2341975</v>
      </c>
      <c r="F309" s="1">
        <v>1244.40754516471</v>
      </c>
      <c r="G309" s="1">
        <v>6</v>
      </c>
      <c r="H309" s="1">
        <v>3</v>
      </c>
      <c r="I309" s="1">
        <v>3</v>
      </c>
      <c r="J309" s="1">
        <v>2.5</v>
      </c>
      <c r="K309" s="1">
        <v>2</v>
      </c>
      <c r="L309" s="1">
        <v>1</v>
      </c>
      <c r="M309" s="4">
        <v>1882</v>
      </c>
      <c r="N309" s="1">
        <v>1929</v>
      </c>
      <c r="O309" s="1">
        <v>4440</v>
      </c>
      <c r="P309" s="1">
        <v>2511</v>
      </c>
      <c r="Q309" s="1" t="s">
        <v>42</v>
      </c>
      <c r="S309" s="1" t="s">
        <v>42</v>
      </c>
      <c r="T309" s="1" t="s">
        <v>153</v>
      </c>
      <c r="V309" s="5">
        <v>43903</v>
      </c>
      <c r="W309" s="5">
        <v>43661</v>
      </c>
      <c r="X309" s="1">
        <v>2995000</v>
      </c>
      <c r="Y309" s="1">
        <v>2995000</v>
      </c>
      <c r="Z309" s="5">
        <v>43661</v>
      </c>
      <c r="AA309" s="1">
        <v>2341975</v>
      </c>
      <c r="AB309" s="1" t="s">
        <v>228</v>
      </c>
      <c r="AC309" s="5">
        <v>43844</v>
      </c>
      <c r="AF309" s="1">
        <v>10023</v>
      </c>
      <c r="AI309" s="1" t="s">
        <v>187</v>
      </c>
      <c r="AJ309" s="1">
        <v>2019</v>
      </c>
      <c r="AK309" s="1" t="s">
        <v>49</v>
      </c>
      <c r="AL309" s="1">
        <v>38</v>
      </c>
    </row>
    <row r="310" spans="1:38" x14ac:dyDescent="0.2">
      <c r="A310" s="2" t="str">
        <f>HYPERLINK("https://www.compass.com/listing/350-w-71st-st-unit-maisonette-e-manhattan-ny-10023/296910204805604209/","350 W 71st St, Unit Maisonette E")</f>
        <v>350 W 71st St, Unit Maisonette E</v>
      </c>
      <c r="B310" s="2" t="str">
        <f t="shared" si="45"/>
        <v>350 West 71st Street</v>
      </c>
      <c r="C310" s="1" t="s">
        <v>78</v>
      </c>
      <c r="D310" s="1" t="s">
        <v>41</v>
      </c>
      <c r="E310" s="3">
        <v>2341975</v>
      </c>
      <c r="F310" s="1">
        <v>1117.3544847328201</v>
      </c>
      <c r="G310" s="1">
        <v>5</v>
      </c>
      <c r="H310" s="1">
        <v>2</v>
      </c>
      <c r="I310" s="1">
        <v>3</v>
      </c>
      <c r="J310" s="1">
        <v>2.5</v>
      </c>
      <c r="K310" s="1">
        <v>2</v>
      </c>
      <c r="L310" s="1">
        <v>1</v>
      </c>
      <c r="M310" s="4">
        <v>2096</v>
      </c>
      <c r="N310" s="1">
        <v>1557</v>
      </c>
      <c r="O310" s="1">
        <v>3584</v>
      </c>
      <c r="P310" s="1">
        <v>2027</v>
      </c>
      <c r="Q310" s="1" t="s">
        <v>42</v>
      </c>
      <c r="S310" s="1" t="s">
        <v>42</v>
      </c>
      <c r="T310" s="1" t="s">
        <v>153</v>
      </c>
      <c r="V310" s="5">
        <v>43861</v>
      </c>
      <c r="W310" s="5">
        <v>43661</v>
      </c>
      <c r="X310" s="1">
        <v>2300000</v>
      </c>
      <c r="Y310" s="1">
        <v>2300000</v>
      </c>
      <c r="Z310" s="5">
        <v>43661</v>
      </c>
      <c r="AA310" s="1">
        <v>2341975</v>
      </c>
      <c r="AB310" s="1" t="s">
        <v>228</v>
      </c>
      <c r="AC310" s="5">
        <v>43844</v>
      </c>
      <c r="AF310" s="1">
        <v>10023</v>
      </c>
      <c r="AI310" s="1" t="s">
        <v>187</v>
      </c>
      <c r="AJ310" s="1">
        <v>2019</v>
      </c>
      <c r="AK310" s="1" t="s">
        <v>49</v>
      </c>
      <c r="AL310" s="1">
        <v>38</v>
      </c>
    </row>
    <row r="311" spans="1:38" x14ac:dyDescent="0.2">
      <c r="A311" s="2" t="str">
        <f>HYPERLINK("https://www.compass.com/listing/350-west-71st-street-unit-4b-manhattan-ny-10023/431184897475478081/","350 W 71st St, Unit 4B")</f>
        <v>350 W 71st St, Unit 4B</v>
      </c>
      <c r="B311" s="2" t="str">
        <f t="shared" si="45"/>
        <v>350 West 71st Street</v>
      </c>
      <c r="C311" s="1" t="s">
        <v>78</v>
      </c>
      <c r="D311" s="1" t="s">
        <v>41</v>
      </c>
      <c r="E311" s="3">
        <v>3345000</v>
      </c>
      <c r="F311" s="1">
        <v>1956.14035087719</v>
      </c>
      <c r="G311" s="1">
        <v>5</v>
      </c>
      <c r="H311" s="1">
        <v>3</v>
      </c>
      <c r="I311" s="1">
        <v>3</v>
      </c>
      <c r="J311" s="1">
        <v>2.5</v>
      </c>
      <c r="K311" s="1">
        <v>2</v>
      </c>
      <c r="L311" s="1">
        <v>1</v>
      </c>
      <c r="M311" s="4">
        <v>1710</v>
      </c>
      <c r="N311" s="1">
        <v>1752</v>
      </c>
      <c r="O311" s="1">
        <v>4033</v>
      </c>
      <c r="P311" s="1">
        <v>2281</v>
      </c>
      <c r="S311" s="1" t="s">
        <v>42</v>
      </c>
      <c r="T311" s="1" t="s">
        <v>153</v>
      </c>
      <c r="V311" s="5">
        <v>43903</v>
      </c>
      <c r="Y311" s="1">
        <v>3345000</v>
      </c>
      <c r="Z311" s="5">
        <v>43847</v>
      </c>
      <c r="AA311" s="1">
        <v>3345000</v>
      </c>
      <c r="AB311" s="1" t="s">
        <v>177</v>
      </c>
      <c r="AC311" s="5">
        <v>43887</v>
      </c>
      <c r="AF311" s="1">
        <v>10023</v>
      </c>
      <c r="AI311" s="1" t="s">
        <v>187</v>
      </c>
      <c r="AJ311" s="1">
        <v>2019</v>
      </c>
      <c r="AK311" s="1" t="s">
        <v>49</v>
      </c>
      <c r="AL311" s="1">
        <v>38</v>
      </c>
    </row>
    <row r="312" spans="1:38" x14ac:dyDescent="0.2">
      <c r="A312" s="2" t="str">
        <f>HYPERLINK("https://www.compass.com/listing/432-west-52nd-street-unit-5aa-manhattan-ny-10019/4852352152158342305/","432 W 52nd St, Unit 5AA")</f>
        <v>432 W 52nd St, Unit 5AA</v>
      </c>
      <c r="B312" s="2" t="str">
        <f>HYPERLINK("https://www.compass.com/building/432-w-52nd-st-manhattan-ny-10019/292847238378489941/","432 W 52nd St")</f>
        <v>432 W 52nd St</v>
      </c>
      <c r="C312" s="1" t="s">
        <v>67</v>
      </c>
      <c r="D312" s="1" t="s">
        <v>41</v>
      </c>
      <c r="E312" s="3">
        <v>1210000</v>
      </c>
      <c r="F312" s="1">
        <v>1017.66190075693</v>
      </c>
      <c r="G312" s="1">
        <v>4</v>
      </c>
      <c r="H312" s="1">
        <v>2</v>
      </c>
      <c r="I312" s="1">
        <v>2</v>
      </c>
      <c r="J312" s="1">
        <v>2</v>
      </c>
      <c r="M312" s="4">
        <v>1189</v>
      </c>
      <c r="N312" s="1">
        <v>1476</v>
      </c>
      <c r="O312" s="1">
        <v>3130</v>
      </c>
      <c r="P312" s="1">
        <v>1654</v>
      </c>
      <c r="Q312" s="1" t="s">
        <v>229</v>
      </c>
      <c r="S312" s="1" t="s">
        <v>136</v>
      </c>
      <c r="T312" s="1" t="s">
        <v>153</v>
      </c>
      <c r="U312" s="1">
        <v>161</v>
      </c>
      <c r="V312" s="5">
        <v>43536</v>
      </c>
      <c r="W312" s="5">
        <v>42992</v>
      </c>
      <c r="X312" s="1">
        <v>1365000</v>
      </c>
      <c r="Y312" s="1">
        <v>1250000</v>
      </c>
      <c r="Z312" s="5">
        <v>43154</v>
      </c>
      <c r="AA312" s="1">
        <v>1210000</v>
      </c>
      <c r="AB312" s="1" t="s">
        <v>230</v>
      </c>
      <c r="AC312" s="5">
        <v>43200</v>
      </c>
      <c r="AF312" s="1">
        <v>10019</v>
      </c>
      <c r="AI312" s="1" t="s">
        <v>55</v>
      </c>
      <c r="AJ312" s="1">
        <v>1950</v>
      </c>
      <c r="AK312" s="1" t="s">
        <v>121</v>
      </c>
      <c r="AL312" s="1">
        <v>55</v>
      </c>
    </row>
    <row r="313" spans="1:38" x14ac:dyDescent="0.2">
      <c r="A313" s="2" t="str">
        <f>HYPERLINK("https://www.compass.com/listing/350-west-71st-street-unit-6e-manhattan-ny-10023/535486167501133017/","350 W 71st St, Unit 6E")</f>
        <v>350 W 71st St, Unit 6E</v>
      </c>
      <c r="B313" s="2" t="str">
        <f>HYPERLINK("https://www.compass.com/building/350-west-71st-street-manhattan-ny/282058856064910533/","350 West 71st Street")</f>
        <v>350 West 71st Street</v>
      </c>
      <c r="C313" s="1" t="s">
        <v>78</v>
      </c>
      <c r="D313" s="1" t="s">
        <v>41</v>
      </c>
      <c r="E313" s="3">
        <v>2900000</v>
      </c>
      <c r="F313" s="1">
        <v>1740.6962785113999</v>
      </c>
      <c r="G313" s="1">
        <v>5</v>
      </c>
      <c r="H313" s="1">
        <v>3</v>
      </c>
      <c r="I313" s="1">
        <v>3</v>
      </c>
      <c r="J313" s="1">
        <v>2.5</v>
      </c>
      <c r="K313" s="1">
        <v>2</v>
      </c>
      <c r="L313" s="1">
        <v>1</v>
      </c>
      <c r="M313" s="4">
        <v>1666</v>
      </c>
      <c r="N313" s="1">
        <v>1707</v>
      </c>
      <c r="O313" s="1">
        <v>3930</v>
      </c>
      <c r="P313" s="1">
        <v>2223</v>
      </c>
      <c r="Q313" s="1" t="s">
        <v>42</v>
      </c>
      <c r="S313" s="1" t="s">
        <v>42</v>
      </c>
      <c r="T313" s="1" t="s">
        <v>153</v>
      </c>
      <c r="V313" s="5">
        <v>44075</v>
      </c>
      <c r="Y313" s="1">
        <v>3475000</v>
      </c>
      <c r="Z313" s="5">
        <v>43991</v>
      </c>
      <c r="AA313" s="1">
        <v>2900000</v>
      </c>
      <c r="AB313" s="1" t="s">
        <v>231</v>
      </c>
      <c r="AC313" s="5">
        <v>44074</v>
      </c>
      <c r="AF313" s="1">
        <v>10023</v>
      </c>
      <c r="AI313" s="1" t="s">
        <v>187</v>
      </c>
      <c r="AJ313" s="1">
        <v>2019</v>
      </c>
      <c r="AK313" s="1" t="s">
        <v>49</v>
      </c>
      <c r="AL313" s="1">
        <v>38</v>
      </c>
    </row>
    <row r="314" spans="1:38" x14ac:dyDescent="0.2">
      <c r="A314" s="2" t="str">
        <f>HYPERLINK("https://www.compass.com/listing/215-sullivan-street-unit-6b-manhattan-ny-10012/212937653446820081/","215 Sullivan St, Unit 6B")</f>
        <v>215 Sullivan St, Unit 6B</v>
      </c>
      <c r="B314" s="2" t="str">
        <f t="shared" ref="B314:B319" si="46">HYPERLINK("https://www.compass.com/building/215-sullivan-st-manhattan-ny-10012/292810405493901557/","215 Sullivan St")</f>
        <v>215 Sullivan St</v>
      </c>
      <c r="C314" s="1" t="s">
        <v>159</v>
      </c>
      <c r="D314" s="1" t="s">
        <v>41</v>
      </c>
      <c r="E314" s="3">
        <v>3500000</v>
      </c>
      <c r="F314" s="1">
        <v>3384.9129593810399</v>
      </c>
      <c r="G314" s="1">
        <v>5</v>
      </c>
      <c r="H314" s="1">
        <v>1</v>
      </c>
      <c r="I314" s="1">
        <v>2</v>
      </c>
      <c r="J314" s="1">
        <v>1.5</v>
      </c>
      <c r="M314" s="4">
        <v>1034</v>
      </c>
      <c r="N314" s="1">
        <v>1811</v>
      </c>
      <c r="O314" s="1">
        <v>3767</v>
      </c>
      <c r="P314" s="1">
        <v>1956</v>
      </c>
      <c r="Q314" s="1" t="s">
        <v>42</v>
      </c>
      <c r="S314" s="1" t="s">
        <v>42</v>
      </c>
      <c r="T314" s="1" t="s">
        <v>153</v>
      </c>
      <c r="U314" s="1">
        <v>23</v>
      </c>
      <c r="V314" s="5">
        <v>43654</v>
      </c>
      <c r="W314" s="5">
        <v>42410</v>
      </c>
      <c r="X314" s="1">
        <v>3500000</v>
      </c>
      <c r="Y314" s="1">
        <v>3500000</v>
      </c>
      <c r="Z314" s="5">
        <v>42433</v>
      </c>
      <c r="AA314" s="1">
        <v>3500000</v>
      </c>
      <c r="AB314" s="1" t="s">
        <v>232</v>
      </c>
      <c r="AC314" s="5">
        <v>42452</v>
      </c>
      <c r="AF314" s="1">
        <v>10012</v>
      </c>
      <c r="AI314" s="1" t="s">
        <v>233</v>
      </c>
      <c r="AJ314" s="1">
        <v>2014</v>
      </c>
      <c r="AK314" s="1" t="s">
        <v>99</v>
      </c>
      <c r="AL314" s="1">
        <v>25</v>
      </c>
    </row>
    <row r="315" spans="1:38" x14ac:dyDescent="0.2">
      <c r="A315" s="2" t="str">
        <f>HYPERLINK("https://www.compass.com/listing/215-sullivan-street-unit-4c-manhattan-ny-10012/375279119872164337/","215 Sullivan St, Unit 4C")</f>
        <v>215 Sullivan St, Unit 4C</v>
      </c>
      <c r="B315" s="2" t="str">
        <f t="shared" si="46"/>
        <v>215 Sullivan St</v>
      </c>
      <c r="C315" s="1" t="s">
        <v>159</v>
      </c>
      <c r="D315" s="1" t="s">
        <v>41</v>
      </c>
      <c r="E315" s="3">
        <v>3350000</v>
      </c>
      <c r="F315" s="1">
        <v>2344.2967109867</v>
      </c>
      <c r="G315" s="1">
        <v>4</v>
      </c>
      <c r="H315" s="1">
        <v>2</v>
      </c>
      <c r="I315" s="1">
        <v>3</v>
      </c>
      <c r="J315" s="1">
        <v>2.5</v>
      </c>
      <c r="K315" s="1">
        <v>2</v>
      </c>
      <c r="L315" s="1">
        <v>1</v>
      </c>
      <c r="M315" s="4">
        <v>1429</v>
      </c>
      <c r="N315" s="1">
        <v>2108</v>
      </c>
      <c r="O315" s="1">
        <v>4147</v>
      </c>
      <c r="P315" s="1">
        <v>2039</v>
      </c>
      <c r="Q315" s="1" t="s">
        <v>42</v>
      </c>
      <c r="S315" s="1" t="s">
        <v>42</v>
      </c>
      <c r="T315" s="1" t="s">
        <v>153</v>
      </c>
      <c r="U315" s="1">
        <v>46</v>
      </c>
      <c r="V315" s="5">
        <v>44321</v>
      </c>
      <c r="W315" s="5">
        <v>43770</v>
      </c>
      <c r="X315" s="1">
        <v>3500000</v>
      </c>
      <c r="Y315" s="1">
        <v>3500000</v>
      </c>
      <c r="Z315" s="5">
        <v>43816</v>
      </c>
      <c r="AA315" s="1">
        <v>3350000</v>
      </c>
      <c r="AB315" s="1" t="s">
        <v>234</v>
      </c>
      <c r="AC315" s="5">
        <v>43859</v>
      </c>
      <c r="AF315" s="1">
        <v>10012</v>
      </c>
      <c r="AI315" s="1" t="s">
        <v>80</v>
      </c>
      <c r="AJ315" s="1">
        <v>2014</v>
      </c>
      <c r="AK315" s="1" t="s">
        <v>86</v>
      </c>
      <c r="AL315" s="1">
        <v>25</v>
      </c>
    </row>
    <row r="316" spans="1:38" x14ac:dyDescent="0.2">
      <c r="A316" s="2" t="str">
        <f>HYPERLINK("https://www.compass.com/listing/215-sullivan-street-unit-4b-manhattan-ny-10012/4852325045151732241/","215 Sullivan St, Unit 4B")</f>
        <v>215 Sullivan St, Unit 4B</v>
      </c>
      <c r="B316" s="2" t="str">
        <f t="shared" si="46"/>
        <v>215 Sullivan St</v>
      </c>
      <c r="C316" s="1" t="s">
        <v>159</v>
      </c>
      <c r="D316" s="1" t="s">
        <v>41</v>
      </c>
      <c r="E316" s="3">
        <v>3665700</v>
      </c>
      <c r="F316" s="1">
        <v>2512.4742974640099</v>
      </c>
      <c r="G316" s="1">
        <v>7</v>
      </c>
      <c r="H316" s="1">
        <v>2</v>
      </c>
      <c r="I316" s="1">
        <v>3</v>
      </c>
      <c r="J316" s="1">
        <v>2.5</v>
      </c>
      <c r="M316" s="4">
        <v>1459</v>
      </c>
      <c r="N316" s="1">
        <v>1679</v>
      </c>
      <c r="O316" s="1">
        <v>3976</v>
      </c>
      <c r="P316" s="1">
        <v>2297</v>
      </c>
      <c r="Q316" s="1" t="s">
        <v>42</v>
      </c>
      <c r="S316" s="1" t="s">
        <v>42</v>
      </c>
      <c r="T316" s="1" t="s">
        <v>153</v>
      </c>
      <c r="V316" s="5">
        <v>43650</v>
      </c>
      <c r="W316" s="5">
        <v>41976</v>
      </c>
      <c r="X316" s="1">
        <v>3600000</v>
      </c>
      <c r="Y316" s="1">
        <v>3600000</v>
      </c>
      <c r="Z316" s="5">
        <v>41976</v>
      </c>
      <c r="AA316" s="1">
        <v>3665700</v>
      </c>
      <c r="AB316" s="1" t="s">
        <v>235</v>
      </c>
      <c r="AC316" s="5">
        <v>42377</v>
      </c>
      <c r="AF316" s="1">
        <v>10012</v>
      </c>
      <c r="AI316" s="1" t="s">
        <v>236</v>
      </c>
      <c r="AJ316" s="1">
        <v>2014</v>
      </c>
      <c r="AK316" s="1" t="s">
        <v>99</v>
      </c>
      <c r="AL316" s="1">
        <v>25</v>
      </c>
    </row>
    <row r="317" spans="1:38" x14ac:dyDescent="0.2">
      <c r="A317" s="2" t="str">
        <f>HYPERLINK("https://www.compass.com/listing/215-sullivan-street-unit-4b-manhattan-ny-10012/274535863096971313/","215 Sullivan St, Unit 4B")</f>
        <v>215 Sullivan St, Unit 4B</v>
      </c>
      <c r="B317" s="2" t="str">
        <f t="shared" si="46"/>
        <v>215 Sullivan St</v>
      </c>
      <c r="C317" s="1" t="s">
        <v>159</v>
      </c>
      <c r="D317" s="1" t="s">
        <v>41</v>
      </c>
      <c r="E317" s="3">
        <v>3475000</v>
      </c>
      <c r="F317" s="1">
        <v>2381.7683344756601</v>
      </c>
      <c r="G317" s="1">
        <v>7</v>
      </c>
      <c r="H317" s="1">
        <v>2</v>
      </c>
      <c r="I317" s="1">
        <v>3</v>
      </c>
      <c r="J317" s="1">
        <v>2.5</v>
      </c>
      <c r="K317" s="1">
        <v>2</v>
      </c>
      <c r="L317" s="1">
        <v>1</v>
      </c>
      <c r="M317" s="4">
        <v>1459</v>
      </c>
      <c r="N317" s="1">
        <v>2125</v>
      </c>
      <c r="O317" s="1">
        <v>4125</v>
      </c>
      <c r="P317" s="1">
        <v>2000</v>
      </c>
      <c r="Q317" s="1" t="s">
        <v>42</v>
      </c>
      <c r="S317" s="1" t="s">
        <v>42</v>
      </c>
      <c r="T317" s="1" t="s">
        <v>153</v>
      </c>
      <c r="U317" s="1">
        <v>175</v>
      </c>
      <c r="V317" s="5">
        <v>43907</v>
      </c>
      <c r="W317" s="5">
        <v>43631</v>
      </c>
      <c r="X317" s="1">
        <v>3850000</v>
      </c>
      <c r="Y317" s="1">
        <v>3500000</v>
      </c>
      <c r="Z317" s="5">
        <v>43806</v>
      </c>
      <c r="AA317" s="1">
        <v>3475000</v>
      </c>
      <c r="AB317" s="1" t="s">
        <v>237</v>
      </c>
      <c r="AC317" s="5">
        <v>43893</v>
      </c>
      <c r="AF317" s="1">
        <v>10012</v>
      </c>
      <c r="AI317" s="1" t="s">
        <v>236</v>
      </c>
      <c r="AJ317" s="1">
        <v>2014</v>
      </c>
      <c r="AK317" s="1" t="s">
        <v>86</v>
      </c>
      <c r="AL317" s="1">
        <v>25</v>
      </c>
    </row>
    <row r="318" spans="1:38" x14ac:dyDescent="0.2">
      <c r="A318" s="2" t="str">
        <f>HYPERLINK("https://www.compass.com/listing/215-sullivan-street-unit-phb-manhattan-ny-10012/4852326533559229265/","215 Sullivan St, Unit PHB")</f>
        <v>215 Sullivan St, Unit PHB</v>
      </c>
      <c r="B318" s="2" t="str">
        <f t="shared" si="46"/>
        <v>215 Sullivan St</v>
      </c>
      <c r="C318" s="1" t="s">
        <v>159</v>
      </c>
      <c r="D318" s="1" t="s">
        <v>41</v>
      </c>
      <c r="E318" s="3">
        <v>3049659</v>
      </c>
      <c r="F318" s="1">
        <v>2949.3800773694302</v>
      </c>
      <c r="G318" s="1">
        <v>5</v>
      </c>
      <c r="H318" s="1">
        <v>1</v>
      </c>
      <c r="I318" s="1">
        <v>2</v>
      </c>
      <c r="J318" s="1">
        <v>1.5</v>
      </c>
      <c r="M318" s="4">
        <v>1034</v>
      </c>
      <c r="N318" s="1">
        <v>1727</v>
      </c>
      <c r="O318" s="1">
        <v>3681</v>
      </c>
      <c r="P318" s="1">
        <v>1954</v>
      </c>
      <c r="Q318" s="1" t="s">
        <v>42</v>
      </c>
      <c r="S318" s="1" t="s">
        <v>42</v>
      </c>
      <c r="T318" s="1" t="s">
        <v>153</v>
      </c>
      <c r="V318" s="5">
        <v>43678</v>
      </c>
      <c r="W318" s="5">
        <v>41976</v>
      </c>
      <c r="X318" s="1">
        <v>2995000</v>
      </c>
      <c r="Y318" s="1">
        <v>2995000</v>
      </c>
      <c r="Z318" s="5">
        <v>41976</v>
      </c>
      <c r="AA318" s="1">
        <v>3049659</v>
      </c>
      <c r="AB318" s="1" t="s">
        <v>238</v>
      </c>
      <c r="AC318" s="5">
        <v>42384</v>
      </c>
      <c r="AF318" s="1">
        <v>10012</v>
      </c>
      <c r="AI318" s="1" t="s">
        <v>239</v>
      </c>
      <c r="AJ318" s="1">
        <v>2014</v>
      </c>
      <c r="AK318" s="1" t="s">
        <v>99</v>
      </c>
      <c r="AL318" s="1">
        <v>25</v>
      </c>
    </row>
    <row r="319" spans="1:38" x14ac:dyDescent="0.2">
      <c r="A319" s="2" t="str">
        <f>HYPERLINK("https://www.compass.com/listing/215-sullivan-street-unit-3c-manhattan-ny-10012/4852274454555798689/","215 Sullivan St, Unit 3C")</f>
        <v>215 Sullivan St, Unit 3C</v>
      </c>
      <c r="B319" s="2" t="str">
        <f t="shared" si="46"/>
        <v>215 Sullivan St</v>
      </c>
      <c r="C319" s="1" t="s">
        <v>159</v>
      </c>
      <c r="D319" s="1" t="s">
        <v>41</v>
      </c>
      <c r="E319" s="3">
        <v>4050000</v>
      </c>
      <c r="F319" s="1">
        <v>2834.1497550734698</v>
      </c>
      <c r="G319" s="1">
        <v>8</v>
      </c>
      <c r="H319" s="1">
        <v>2</v>
      </c>
      <c r="I319" s="1">
        <v>3</v>
      </c>
      <c r="J319" s="1">
        <v>2.5</v>
      </c>
      <c r="M319" s="4">
        <v>1429</v>
      </c>
      <c r="N319" s="1">
        <v>1621</v>
      </c>
      <c r="O319" s="1">
        <v>2557</v>
      </c>
      <c r="P319" s="1">
        <v>936</v>
      </c>
      <c r="Q319" s="1" t="s">
        <v>42</v>
      </c>
      <c r="S319" s="1" t="s">
        <v>42</v>
      </c>
      <c r="T319" s="1" t="s">
        <v>153</v>
      </c>
      <c r="U319" s="1">
        <v>44</v>
      </c>
      <c r="V319" s="5">
        <v>43673</v>
      </c>
      <c r="W319" s="5">
        <v>42806</v>
      </c>
      <c r="X319" s="1">
        <v>4250000</v>
      </c>
      <c r="Y319" s="1">
        <v>4250000</v>
      </c>
      <c r="Z319" s="5">
        <v>42850</v>
      </c>
      <c r="AA319" s="1">
        <v>4050000</v>
      </c>
      <c r="AB319" s="1" t="s">
        <v>240</v>
      </c>
      <c r="AC319" s="5">
        <v>42888</v>
      </c>
      <c r="AF319" s="1">
        <v>10012</v>
      </c>
      <c r="AI319" s="1" t="s">
        <v>236</v>
      </c>
      <c r="AJ319" s="1">
        <v>2014</v>
      </c>
      <c r="AK319" s="1" t="s">
        <v>49</v>
      </c>
      <c r="AL319" s="1">
        <v>25</v>
      </c>
    </row>
    <row r="320" spans="1:38" x14ac:dyDescent="0.2">
      <c r="A320" s="2" t="str">
        <f>HYPERLINK("https://www.compass.com/listing/77-warren-street-unit-ph-manhattan-ny-10007/24675852562223649/","77 Warren St, Unit PH")</f>
        <v>77 Warren St, Unit PH</v>
      </c>
      <c r="B320" s="2" t="str">
        <f>HYPERLINK("https://www.compass.com/building/77-warren-street-manhattan-ny/281897165184312741/","77 Warren Street")</f>
        <v>77 Warren Street</v>
      </c>
      <c r="C320" s="1" t="s">
        <v>65</v>
      </c>
      <c r="D320" s="1" t="s">
        <v>41</v>
      </c>
      <c r="E320" s="3">
        <v>2975000</v>
      </c>
      <c r="F320" s="1">
        <v>1919.35483870967</v>
      </c>
      <c r="G320" s="1">
        <v>4</v>
      </c>
      <c r="H320" s="1">
        <v>2</v>
      </c>
      <c r="I320" s="1">
        <v>2</v>
      </c>
      <c r="J320" s="1">
        <v>2</v>
      </c>
      <c r="M320" s="4">
        <v>1550</v>
      </c>
      <c r="N320" s="1">
        <v>1600</v>
      </c>
      <c r="O320" s="1">
        <v>3453</v>
      </c>
      <c r="P320" s="1">
        <v>1853</v>
      </c>
      <c r="Q320" s="1" t="s">
        <v>42</v>
      </c>
      <c r="S320" s="1" t="s">
        <v>42</v>
      </c>
      <c r="T320" s="1" t="s">
        <v>153</v>
      </c>
      <c r="U320" s="1">
        <v>102</v>
      </c>
      <c r="V320" s="5">
        <v>43647</v>
      </c>
      <c r="W320" s="5">
        <v>43153</v>
      </c>
      <c r="X320" s="1">
        <v>3600000</v>
      </c>
      <c r="Y320" s="1">
        <v>3295000</v>
      </c>
      <c r="Z320" s="5">
        <v>43256</v>
      </c>
      <c r="AA320" s="1">
        <v>2975000</v>
      </c>
      <c r="AB320" s="1" t="s">
        <v>177</v>
      </c>
      <c r="AC320" s="5">
        <v>43309</v>
      </c>
      <c r="AF320" s="1">
        <v>10007</v>
      </c>
      <c r="AI320" s="1" t="s">
        <v>147</v>
      </c>
      <c r="AJ320" s="1">
        <v>1905</v>
      </c>
      <c r="AL320" s="1">
        <v>4</v>
      </c>
    </row>
    <row r="321" spans="1:38" x14ac:dyDescent="0.2">
      <c r="A321" s="2" t="str">
        <f>HYPERLINK("https://www.compass.com/listing/160-west-12th-street-unit-46-manhattan-ny-10011/537510617526090177/","160 W 12th St, Unit 46")</f>
        <v>160 W 12th St, Unit 46</v>
      </c>
      <c r="B321" s="2" t="str">
        <f>HYPERLINK("https://www.compass.com/building/the-greenwich-lane-manhattan-ny/282059161326355877/","The Greenwich Lane")</f>
        <v>The Greenwich Lane</v>
      </c>
      <c r="C321" s="1" t="s">
        <v>40</v>
      </c>
      <c r="D321" s="1" t="s">
        <v>41</v>
      </c>
      <c r="E321" s="3">
        <v>3900000</v>
      </c>
      <c r="F321" s="1">
        <v>2459.01639344262</v>
      </c>
      <c r="G321" s="1">
        <v>5</v>
      </c>
      <c r="H321" s="1">
        <v>2</v>
      </c>
      <c r="I321" s="1">
        <v>2</v>
      </c>
      <c r="J321" s="1">
        <v>2</v>
      </c>
      <c r="K321" s="1">
        <v>2</v>
      </c>
      <c r="M321" s="4">
        <v>1586</v>
      </c>
      <c r="N321" s="1">
        <v>2798</v>
      </c>
      <c r="O321" s="1">
        <v>5593</v>
      </c>
      <c r="P321" s="1">
        <v>2795</v>
      </c>
      <c r="Q321" s="1" t="s">
        <v>42</v>
      </c>
      <c r="S321" s="1" t="s">
        <v>42</v>
      </c>
      <c r="T321" s="1" t="s">
        <v>153</v>
      </c>
      <c r="U321" s="1">
        <v>261</v>
      </c>
      <c r="V321" s="5">
        <v>44405</v>
      </c>
      <c r="W321" s="5">
        <v>43993</v>
      </c>
      <c r="X321" s="1">
        <v>4750000</v>
      </c>
      <c r="Y321" s="1">
        <v>4300000</v>
      </c>
      <c r="Z321" s="5">
        <v>44313</v>
      </c>
      <c r="AA321" s="1">
        <v>3900000</v>
      </c>
      <c r="AB321" s="1" t="s">
        <v>241</v>
      </c>
      <c r="AC321" s="5">
        <v>44392</v>
      </c>
      <c r="AF321" s="1">
        <v>10011</v>
      </c>
      <c r="AI321" s="1" t="s">
        <v>80</v>
      </c>
      <c r="AJ321" s="1">
        <v>2016</v>
      </c>
      <c r="AK321" s="1" t="s">
        <v>46</v>
      </c>
      <c r="AL321" s="1">
        <v>57</v>
      </c>
    </row>
    <row r="322" spans="1:38" x14ac:dyDescent="0.2">
      <c r="A322" s="2" t="str">
        <f>HYPERLINK("https://www.compass.com/listing/215-sullivan-street-unit-3c-manhattan-ny-10012/192573222351403217/","215 Sullivan St, Unit 3C")</f>
        <v>215 Sullivan St, Unit 3C</v>
      </c>
      <c r="B322" s="2" t="str">
        <f t="shared" ref="B322:B323" si="47">HYPERLINK("https://www.compass.com/building/215-sullivan-st-manhattan-ny-10012/292810405493901557/","215 Sullivan St")</f>
        <v>215 Sullivan St</v>
      </c>
      <c r="C322" s="1" t="s">
        <v>159</v>
      </c>
      <c r="D322" s="1" t="s">
        <v>41</v>
      </c>
      <c r="E322" s="3">
        <v>3538419</v>
      </c>
      <c r="F322" s="1">
        <v>2476.1502799160198</v>
      </c>
      <c r="G322" s="1">
        <v>8</v>
      </c>
      <c r="H322" s="1">
        <v>2</v>
      </c>
      <c r="I322" s="1">
        <v>3</v>
      </c>
      <c r="J322" s="1">
        <v>2.5</v>
      </c>
      <c r="M322" s="4">
        <v>1429</v>
      </c>
      <c r="N322" s="1">
        <v>1644</v>
      </c>
      <c r="O322" s="1">
        <v>3894</v>
      </c>
      <c r="P322" s="1">
        <v>2250</v>
      </c>
      <c r="Q322" s="1" t="s">
        <v>42</v>
      </c>
      <c r="S322" s="1" t="s">
        <v>42</v>
      </c>
      <c r="T322" s="1" t="s">
        <v>153</v>
      </c>
      <c r="V322" s="5">
        <v>43650</v>
      </c>
      <c r="W322" s="5">
        <v>42341</v>
      </c>
      <c r="X322" s="1">
        <v>3475000</v>
      </c>
      <c r="Y322" s="1">
        <v>3475000</v>
      </c>
      <c r="Z322" s="5">
        <v>42341</v>
      </c>
      <c r="AA322" s="1">
        <v>3538418.75</v>
      </c>
      <c r="AB322" s="1" t="s">
        <v>242</v>
      </c>
      <c r="AC322" s="5">
        <v>42388</v>
      </c>
      <c r="AF322" s="1">
        <v>10012</v>
      </c>
      <c r="AI322" s="1" t="s">
        <v>243</v>
      </c>
      <c r="AJ322" s="1">
        <v>2014</v>
      </c>
      <c r="AK322" s="1" t="s">
        <v>99</v>
      </c>
      <c r="AL322" s="1">
        <v>25</v>
      </c>
    </row>
    <row r="323" spans="1:38" x14ac:dyDescent="0.2">
      <c r="A323" s="2" t="str">
        <f>HYPERLINK("https://www.compass.com/listing/215-sullivan-street-unit-4c-manhattan-ny-10012/4852273957857925057/","215 Sullivan St, Unit 4C")</f>
        <v>215 Sullivan St, Unit 4C</v>
      </c>
      <c r="B323" s="2" t="str">
        <f t="shared" si="47"/>
        <v>215 Sullivan St</v>
      </c>
      <c r="C323" s="1" t="s">
        <v>159</v>
      </c>
      <c r="D323" s="1" t="s">
        <v>41</v>
      </c>
      <c r="E323" s="3">
        <v>3641137</v>
      </c>
      <c r="F323" s="1">
        <v>2548.0314905528298</v>
      </c>
      <c r="G323" s="1">
        <v>8</v>
      </c>
      <c r="H323" s="1">
        <v>2</v>
      </c>
      <c r="I323" s="1">
        <v>3</v>
      </c>
      <c r="J323" s="1">
        <v>2.5</v>
      </c>
      <c r="M323" s="4">
        <v>1429</v>
      </c>
      <c r="N323" s="1">
        <v>1644</v>
      </c>
      <c r="O323" s="1">
        <v>3894</v>
      </c>
      <c r="P323" s="1">
        <v>2250</v>
      </c>
      <c r="Q323" s="1" t="s">
        <v>42</v>
      </c>
      <c r="S323" s="1" t="s">
        <v>42</v>
      </c>
      <c r="T323" s="1" t="s">
        <v>153</v>
      </c>
      <c r="V323" s="5">
        <v>43650</v>
      </c>
      <c r="W323" s="5">
        <v>41976</v>
      </c>
      <c r="X323" s="1">
        <v>3575000</v>
      </c>
      <c r="Y323" s="1">
        <v>3575000</v>
      </c>
      <c r="Z323" s="5">
        <v>41976</v>
      </c>
      <c r="AA323" s="1">
        <v>3641137</v>
      </c>
      <c r="AB323" s="1" t="s">
        <v>244</v>
      </c>
      <c r="AC323" s="5">
        <v>42368</v>
      </c>
      <c r="AF323" s="1">
        <v>10012</v>
      </c>
      <c r="AI323" s="1" t="s">
        <v>243</v>
      </c>
      <c r="AJ323" s="1">
        <v>2014</v>
      </c>
      <c r="AK323" s="1" t="s">
        <v>86</v>
      </c>
      <c r="AL323" s="1">
        <v>25</v>
      </c>
    </row>
    <row r="324" spans="1:38" x14ac:dyDescent="0.2">
      <c r="A324" s="2" t="str">
        <f>HYPERLINK("https://www.compass.com/listing/71-reade-street-unit-2d-manhattan-ny-10007/4852323216997234721/","71 Reade St, Unit 2D")</f>
        <v>71 Reade St, Unit 2D</v>
      </c>
      <c r="B324" s="2" t="str">
        <f>HYPERLINK("https://www.compass.com/building/reade-chambers-manhattan-ny/281897219919982101/","Reade Chambers")</f>
        <v>Reade Chambers</v>
      </c>
      <c r="C324" s="1" t="s">
        <v>65</v>
      </c>
      <c r="D324" s="1" t="s">
        <v>41</v>
      </c>
      <c r="E324" s="3">
        <v>2895000</v>
      </c>
      <c r="F324" s="1">
        <v>1826.4984227129301</v>
      </c>
      <c r="G324" s="1">
        <v>4</v>
      </c>
      <c r="H324" s="1">
        <v>2</v>
      </c>
      <c r="I324" s="1">
        <v>3</v>
      </c>
      <c r="J324" s="1">
        <v>2.5</v>
      </c>
      <c r="M324" s="4">
        <v>1585</v>
      </c>
      <c r="N324" s="1">
        <v>2967</v>
      </c>
      <c r="O324" s="1">
        <v>4003</v>
      </c>
      <c r="P324" s="1">
        <v>1036</v>
      </c>
      <c r="Q324" s="1" t="s">
        <v>42</v>
      </c>
      <c r="S324" s="1" t="s">
        <v>42</v>
      </c>
      <c r="T324" s="1" t="s">
        <v>153</v>
      </c>
      <c r="V324" s="5">
        <v>43651</v>
      </c>
      <c r="W324" s="5">
        <v>41976</v>
      </c>
      <c r="X324" s="1">
        <v>2895000</v>
      </c>
      <c r="Y324" s="1">
        <v>2895000</v>
      </c>
      <c r="Z324" s="5">
        <v>41976</v>
      </c>
      <c r="AA324" s="1">
        <v>2895000</v>
      </c>
      <c r="AB324" s="1" t="s">
        <v>177</v>
      </c>
      <c r="AC324" s="5">
        <v>42235</v>
      </c>
      <c r="AF324" s="1">
        <v>10007</v>
      </c>
      <c r="AI324" s="1" t="s">
        <v>88</v>
      </c>
      <c r="AJ324" s="1">
        <v>2015</v>
      </c>
      <c r="AK324" s="1" t="s">
        <v>99</v>
      </c>
      <c r="AL324" s="1">
        <v>18</v>
      </c>
    </row>
    <row r="325" spans="1:38" x14ac:dyDescent="0.2">
      <c r="A325" s="2" t="str">
        <f>HYPERLINK("https://www.compass.com/listing/77-warren-street-unit-2-manhattan-ny-10007/29357634561872417/","77 Warren St, Unit 2")</f>
        <v>77 Warren St, Unit 2</v>
      </c>
      <c r="B325" s="2" t="str">
        <f>HYPERLINK("https://www.compass.com/building/77-warren-street-manhattan-ny/281897165184312741/","77 Warren Street")</f>
        <v>77 Warren Street</v>
      </c>
      <c r="C325" s="1" t="s">
        <v>65</v>
      </c>
      <c r="D325" s="1" t="s">
        <v>41</v>
      </c>
      <c r="E325" s="3">
        <v>2900000</v>
      </c>
      <c r="F325" s="1">
        <v>1920.5298013245001</v>
      </c>
      <c r="G325" s="1">
        <v>4</v>
      </c>
      <c r="H325" s="1">
        <v>2</v>
      </c>
      <c r="I325" s="1">
        <v>2</v>
      </c>
      <c r="J325" s="1">
        <v>2</v>
      </c>
      <c r="M325" s="4">
        <v>1510</v>
      </c>
      <c r="N325" s="1">
        <v>970</v>
      </c>
      <c r="O325" s="1">
        <v>1981</v>
      </c>
      <c r="P325" s="1">
        <v>1011</v>
      </c>
      <c r="Q325" s="1" t="s">
        <v>42</v>
      </c>
      <c r="S325" s="1" t="s">
        <v>42</v>
      </c>
      <c r="T325" s="1" t="s">
        <v>153</v>
      </c>
      <c r="V325" s="5">
        <v>43685</v>
      </c>
      <c r="W325" s="5">
        <v>41976</v>
      </c>
      <c r="X325" s="1">
        <v>2950000</v>
      </c>
      <c r="Y325" s="1">
        <v>2950000</v>
      </c>
      <c r="Z325" s="5">
        <v>41976</v>
      </c>
      <c r="AA325" s="1">
        <v>2900000</v>
      </c>
      <c r="AB325" s="1" t="s">
        <v>245</v>
      </c>
      <c r="AC325" s="5">
        <v>42013</v>
      </c>
      <c r="AF325" s="1">
        <v>10007</v>
      </c>
      <c r="AJ325" s="1">
        <v>1905</v>
      </c>
      <c r="AL325" s="1">
        <v>4</v>
      </c>
    </row>
    <row r="326" spans="1:38" x14ac:dyDescent="0.2">
      <c r="A326" s="2" t="str">
        <f>HYPERLINK("https://www.compass.com/listing/215-sullivan-street-unit-4a-manhattan-ny-10012/4852325915872466049/","215 Sullivan St, Unit 4A")</f>
        <v>215 Sullivan St, Unit 4A</v>
      </c>
      <c r="B326" s="2" t="str">
        <f>HYPERLINK("https://www.compass.com/building/215-sullivan-st-manhattan-ny-10012/292810405493901557/","215 Sullivan St")</f>
        <v>215 Sullivan St</v>
      </c>
      <c r="C326" s="1" t="s">
        <v>159</v>
      </c>
      <c r="D326" s="1" t="s">
        <v>41</v>
      </c>
      <c r="E326" s="3">
        <v>9163231</v>
      </c>
      <c r="F326" s="1">
        <v>2815.9898586355198</v>
      </c>
      <c r="G326" s="1">
        <v>13</v>
      </c>
      <c r="H326" s="1">
        <v>4</v>
      </c>
      <c r="I326" s="1">
        <v>5</v>
      </c>
      <c r="J326" s="1">
        <v>4.5</v>
      </c>
      <c r="M326" s="4">
        <v>3254</v>
      </c>
      <c r="N326" s="1">
        <v>3745</v>
      </c>
      <c r="O326" s="1">
        <v>8869</v>
      </c>
      <c r="P326" s="1">
        <v>5124</v>
      </c>
      <c r="Q326" s="1" t="s">
        <v>42</v>
      </c>
      <c r="S326" s="1" t="s">
        <v>42</v>
      </c>
      <c r="T326" s="1" t="s">
        <v>153</v>
      </c>
      <c r="V326" s="5">
        <v>43650</v>
      </c>
      <c r="W326" s="5">
        <v>41976</v>
      </c>
      <c r="X326" s="1">
        <v>8999999</v>
      </c>
      <c r="Y326" s="1">
        <v>8999999</v>
      </c>
      <c r="Z326" s="5">
        <v>41976</v>
      </c>
      <c r="AA326" s="1">
        <v>9163231</v>
      </c>
      <c r="AB326" s="1" t="s">
        <v>246</v>
      </c>
      <c r="AC326" s="5">
        <v>42385</v>
      </c>
      <c r="AF326" s="1">
        <v>10012</v>
      </c>
      <c r="AI326" s="1" t="s">
        <v>45</v>
      </c>
      <c r="AJ326" s="1">
        <v>2014</v>
      </c>
      <c r="AK326" s="1" t="s">
        <v>99</v>
      </c>
      <c r="AL326" s="1">
        <v>25</v>
      </c>
    </row>
    <row r="327" spans="1:38" x14ac:dyDescent="0.2">
      <c r="A327" s="2" t="str">
        <f>HYPERLINK("https://www.compass.com/listing/160-west-12th-street-unit-31-manhattan-ny-10011/29367249760545681/","160 W 12th St, Unit 31")</f>
        <v>160 W 12th St, Unit 31</v>
      </c>
      <c r="B327" s="2" t="str">
        <f>HYPERLINK("https://www.compass.com/building/the-greenwich-lane-manhattan-ny/282059161326355877/","The Greenwich Lane")</f>
        <v>The Greenwich Lane</v>
      </c>
      <c r="C327" s="1" t="s">
        <v>40</v>
      </c>
      <c r="D327" s="1" t="s">
        <v>41</v>
      </c>
      <c r="E327" s="3">
        <v>4570000</v>
      </c>
      <c r="F327" s="1">
        <v>2918.26309067688</v>
      </c>
      <c r="G327" s="1">
        <v>4</v>
      </c>
      <c r="H327" s="1">
        <v>2</v>
      </c>
      <c r="I327" s="1">
        <v>3</v>
      </c>
      <c r="J327" s="1">
        <v>2.5</v>
      </c>
      <c r="M327" s="4">
        <v>1566</v>
      </c>
      <c r="N327" s="1">
        <v>2675</v>
      </c>
      <c r="O327" s="1">
        <v>5297</v>
      </c>
      <c r="P327" s="1">
        <v>2622</v>
      </c>
      <c r="Q327" s="1" t="s">
        <v>42</v>
      </c>
      <c r="S327" s="1" t="s">
        <v>42</v>
      </c>
      <c r="T327" s="1" t="s">
        <v>153</v>
      </c>
      <c r="U327" s="1">
        <v>27</v>
      </c>
      <c r="V327" s="5">
        <v>43631</v>
      </c>
      <c r="W327" s="5">
        <v>42480</v>
      </c>
      <c r="X327" s="1">
        <v>4595000</v>
      </c>
      <c r="Y327" s="1">
        <v>4595000</v>
      </c>
      <c r="Z327" s="5">
        <v>42507</v>
      </c>
      <c r="AA327" s="1">
        <v>4570000</v>
      </c>
      <c r="AB327" s="1" t="s">
        <v>247</v>
      </c>
      <c r="AC327" s="5">
        <v>42559</v>
      </c>
      <c r="AF327" s="1">
        <v>10011</v>
      </c>
      <c r="AI327" s="1" t="s">
        <v>45</v>
      </c>
      <c r="AJ327" s="1">
        <v>2016</v>
      </c>
      <c r="AK327" s="1" t="s">
        <v>49</v>
      </c>
      <c r="AL327" s="1">
        <v>57</v>
      </c>
    </row>
    <row r="328" spans="1:38" x14ac:dyDescent="0.2">
      <c r="A328" s="2" t="str">
        <f>HYPERLINK("https://www.compass.com/listing/71-reade-street-unit-4c-manhattan-ny-10007/4852271489954611889/","71 Reade St, Unit 4C")</f>
        <v>71 Reade St, Unit 4C</v>
      </c>
      <c r="B328" s="2" t="str">
        <f>HYPERLINK("https://www.compass.com/building/reade-chambers-manhattan-ny/281897219919982101/","Reade Chambers")</f>
        <v>Reade Chambers</v>
      </c>
      <c r="C328" s="1" t="s">
        <v>65</v>
      </c>
      <c r="D328" s="1" t="s">
        <v>41</v>
      </c>
      <c r="E328" s="3">
        <v>1650000</v>
      </c>
      <c r="F328" s="1">
        <v>1952.66272189349</v>
      </c>
      <c r="G328" s="1">
        <v>3</v>
      </c>
      <c r="H328" s="1">
        <v>1</v>
      </c>
      <c r="I328" s="1">
        <v>1</v>
      </c>
      <c r="J328" s="1">
        <v>1</v>
      </c>
      <c r="K328" s="1">
        <v>1</v>
      </c>
      <c r="M328" s="1">
        <v>845</v>
      </c>
      <c r="N328" s="1">
        <v>1539</v>
      </c>
      <c r="O328" s="1">
        <v>2076</v>
      </c>
      <c r="P328" s="1">
        <v>537</v>
      </c>
      <c r="Q328" s="1" t="s">
        <v>42</v>
      </c>
      <c r="S328" s="1" t="s">
        <v>42</v>
      </c>
      <c r="T328" s="1" t="s">
        <v>153</v>
      </c>
      <c r="V328" s="5">
        <v>44407</v>
      </c>
      <c r="W328" s="5">
        <v>41976</v>
      </c>
      <c r="X328" s="1">
        <v>1650000</v>
      </c>
      <c r="Y328" s="1">
        <v>1650000</v>
      </c>
      <c r="Z328" s="5">
        <v>41976</v>
      </c>
      <c r="AA328" s="1">
        <v>1650000</v>
      </c>
      <c r="AB328" s="1" t="s">
        <v>177</v>
      </c>
      <c r="AC328" s="5">
        <v>42272</v>
      </c>
      <c r="AF328" s="1">
        <v>10007</v>
      </c>
      <c r="AI328" s="1" t="s">
        <v>53</v>
      </c>
      <c r="AJ328" s="1">
        <v>2015</v>
      </c>
      <c r="AK328" s="1" t="s">
        <v>99</v>
      </c>
      <c r="AL328" s="1">
        <v>18</v>
      </c>
    </row>
    <row r="329" spans="1:38" x14ac:dyDescent="0.2">
      <c r="A329" s="2" t="str">
        <f>HYPERLINK("https://www.compass.com/listing/77-warren-street-unit-3-manhattan-ny-10007/29357634855378849/","77 Warren St, Unit 3")</f>
        <v>77 Warren St, Unit 3</v>
      </c>
      <c r="B329" s="2" t="str">
        <f t="shared" ref="B329:B330" si="48">HYPERLINK("https://www.compass.com/building/77-warren-street-manhattan-ny/281897165184312741/","77 Warren Street")</f>
        <v>77 Warren Street</v>
      </c>
      <c r="C329" s="1" t="s">
        <v>65</v>
      </c>
      <c r="D329" s="1" t="s">
        <v>41</v>
      </c>
      <c r="E329" s="3">
        <v>3105663</v>
      </c>
      <c r="F329" s="1">
        <v>2056.7304635761502</v>
      </c>
      <c r="G329" s="1">
        <v>5</v>
      </c>
      <c r="H329" s="1">
        <v>2</v>
      </c>
      <c r="I329" s="1">
        <v>2</v>
      </c>
      <c r="J329" s="1">
        <v>2</v>
      </c>
      <c r="M329" s="4">
        <v>1510</v>
      </c>
      <c r="N329" s="1">
        <v>970</v>
      </c>
      <c r="O329" s="1">
        <v>1981</v>
      </c>
      <c r="P329" s="1">
        <v>1011</v>
      </c>
      <c r="Q329" s="1" t="s">
        <v>42</v>
      </c>
      <c r="S329" s="1" t="s">
        <v>42</v>
      </c>
      <c r="T329" s="1" t="s">
        <v>153</v>
      </c>
      <c r="V329" s="5">
        <v>43685</v>
      </c>
      <c r="W329" s="5">
        <v>41976</v>
      </c>
      <c r="X329" s="1">
        <v>3050000</v>
      </c>
      <c r="Y329" s="1">
        <v>3050000</v>
      </c>
      <c r="Z329" s="5">
        <v>41976</v>
      </c>
      <c r="AA329" s="1">
        <v>3105663</v>
      </c>
      <c r="AB329" s="1" t="s">
        <v>248</v>
      </c>
      <c r="AC329" s="5">
        <v>42012</v>
      </c>
      <c r="AF329" s="1">
        <v>10007</v>
      </c>
      <c r="AJ329" s="1">
        <v>1905</v>
      </c>
      <c r="AL329" s="1">
        <v>4</v>
      </c>
    </row>
    <row r="330" spans="1:38" x14ac:dyDescent="0.2">
      <c r="A330" s="2" t="str">
        <f>HYPERLINK("https://www.compass.com/listing/77-warren-street-unit-4-manhattan-ny-10007/29357635148976913/","77 Warren St, Unit 4")</f>
        <v>77 Warren St, Unit 4</v>
      </c>
      <c r="B330" s="2" t="str">
        <f t="shared" si="48"/>
        <v>77 Warren Street</v>
      </c>
      <c r="C330" s="1" t="s">
        <v>65</v>
      </c>
      <c r="D330" s="1" t="s">
        <v>41</v>
      </c>
      <c r="E330" s="3">
        <v>3100000</v>
      </c>
      <c r="F330" s="1">
        <v>2052.9801324503301</v>
      </c>
      <c r="G330" s="1">
        <v>5</v>
      </c>
      <c r="H330" s="1">
        <v>2</v>
      </c>
      <c r="I330" s="1">
        <v>2</v>
      </c>
      <c r="J330" s="1">
        <v>2</v>
      </c>
      <c r="M330" s="4">
        <v>1510</v>
      </c>
      <c r="N330" s="1">
        <v>970</v>
      </c>
      <c r="O330" s="1">
        <v>1981</v>
      </c>
      <c r="P330" s="1">
        <v>1011</v>
      </c>
      <c r="Q330" s="1" t="s">
        <v>42</v>
      </c>
      <c r="S330" s="1" t="s">
        <v>42</v>
      </c>
      <c r="T330" s="1" t="s">
        <v>153</v>
      </c>
      <c r="V330" s="5">
        <v>43684</v>
      </c>
      <c r="W330" s="5">
        <v>41976</v>
      </c>
      <c r="X330" s="1">
        <v>3150000</v>
      </c>
      <c r="Y330" s="1">
        <v>3150000</v>
      </c>
      <c r="Z330" s="5">
        <v>41976</v>
      </c>
      <c r="AA330" s="1">
        <v>3100000</v>
      </c>
      <c r="AB330" s="1" t="s">
        <v>249</v>
      </c>
      <c r="AC330" s="5">
        <v>42017</v>
      </c>
      <c r="AF330" s="1">
        <v>10007</v>
      </c>
      <c r="AJ330" s="1">
        <v>1905</v>
      </c>
      <c r="AL330" s="1">
        <v>4</v>
      </c>
    </row>
    <row r="331" spans="1:38" x14ac:dyDescent="0.2">
      <c r="A331" s="2" t="str">
        <f>HYPERLINK("https://www.compass.com/listing/215-sullivan-street-unit-5d-manhattan-ny-10012/4852325047508931553/","215 Sullivan St, Unit 5D")</f>
        <v>215 Sullivan St, Unit 5D</v>
      </c>
      <c r="B331" s="2" t="str">
        <f>HYPERLINK("https://www.compass.com/building/215-sullivan-st-manhattan-ny-10012/292810405493901557/","215 Sullivan St")</f>
        <v>215 Sullivan St</v>
      </c>
      <c r="C331" s="1" t="s">
        <v>159</v>
      </c>
      <c r="D331" s="1" t="s">
        <v>41</v>
      </c>
      <c r="E331" s="3">
        <v>5854937</v>
      </c>
      <c r="F331" s="1">
        <v>2478.8048264182798</v>
      </c>
      <c r="G331" s="1">
        <v>8</v>
      </c>
      <c r="H331" s="1">
        <v>3</v>
      </c>
      <c r="I331" s="1">
        <v>4</v>
      </c>
      <c r="J331" s="1">
        <v>3.5</v>
      </c>
      <c r="K331" s="1">
        <v>3</v>
      </c>
      <c r="L331" s="1">
        <v>1</v>
      </c>
      <c r="M331" s="4">
        <v>2362</v>
      </c>
      <c r="N331" s="1">
        <v>2718</v>
      </c>
      <c r="O331" s="1">
        <v>6437</v>
      </c>
      <c r="P331" s="1">
        <v>3719</v>
      </c>
      <c r="Q331" s="1" t="s">
        <v>42</v>
      </c>
      <c r="S331" s="1" t="s">
        <v>42</v>
      </c>
      <c r="T331" s="1" t="s">
        <v>153</v>
      </c>
      <c r="V331" s="5">
        <v>44397</v>
      </c>
      <c r="W331" s="5">
        <v>41976</v>
      </c>
      <c r="X331" s="1">
        <v>5750000</v>
      </c>
      <c r="Y331" s="1">
        <v>5750000</v>
      </c>
      <c r="Z331" s="5">
        <v>41976</v>
      </c>
      <c r="AA331" s="1">
        <v>5854937</v>
      </c>
      <c r="AB331" s="1" t="s">
        <v>250</v>
      </c>
      <c r="AC331" s="5">
        <v>42375</v>
      </c>
      <c r="AF331" s="1">
        <v>10012</v>
      </c>
      <c r="AI331" s="1" t="s">
        <v>80</v>
      </c>
      <c r="AJ331" s="1">
        <v>2014</v>
      </c>
      <c r="AK331" s="1" t="s">
        <v>99</v>
      </c>
      <c r="AL331" s="1">
        <v>25</v>
      </c>
    </row>
    <row r="332" spans="1:38" x14ac:dyDescent="0.2">
      <c r="A332" s="2" t="str">
        <f>HYPERLINK("https://www.compass.com/listing/71-reade-street-unit-3c-manhattan-ny-10007/209974110887993553/","71 Reade St, Unit 3C")</f>
        <v>71 Reade St, Unit 3C</v>
      </c>
      <c r="B332" s="2" t="str">
        <f>HYPERLINK("https://www.compass.com/building/reade-chambers-manhattan-ny/281897219919982101/","Reade Chambers")</f>
        <v>Reade Chambers</v>
      </c>
      <c r="C332" s="1" t="s">
        <v>65</v>
      </c>
      <c r="D332" s="1" t="s">
        <v>41</v>
      </c>
      <c r="E332" s="3">
        <v>1525000</v>
      </c>
      <c r="F332" s="1">
        <v>1804.73372781065</v>
      </c>
      <c r="G332" s="1">
        <v>3</v>
      </c>
      <c r="H332" s="1">
        <v>1</v>
      </c>
      <c r="I332" s="1">
        <v>1</v>
      </c>
      <c r="J332" s="1">
        <v>1.5</v>
      </c>
      <c r="K332" s="1">
        <v>1</v>
      </c>
      <c r="L332" s="1">
        <v>1</v>
      </c>
      <c r="M332" s="1">
        <v>845</v>
      </c>
      <c r="N332" s="1">
        <v>1463</v>
      </c>
      <c r="O332" s="1">
        <v>1878</v>
      </c>
      <c r="P332" s="1">
        <v>415</v>
      </c>
      <c r="Q332" s="1" t="s">
        <v>42</v>
      </c>
      <c r="S332" s="1" t="s">
        <v>42</v>
      </c>
      <c r="T332" s="1" t="s">
        <v>153</v>
      </c>
      <c r="U332" s="1">
        <v>85</v>
      </c>
      <c r="V332" s="5">
        <v>43724</v>
      </c>
      <c r="W332" s="5">
        <v>43552</v>
      </c>
      <c r="X332" s="1">
        <v>1700000</v>
      </c>
      <c r="Y332" s="1">
        <v>1700000</v>
      </c>
      <c r="Z332" s="5">
        <v>43637</v>
      </c>
      <c r="AA332" s="1">
        <v>1525000</v>
      </c>
      <c r="AB332" s="1" t="s">
        <v>251</v>
      </c>
      <c r="AC332" s="5">
        <v>43717</v>
      </c>
      <c r="AF332" s="1">
        <v>10007</v>
      </c>
      <c r="AI332" s="1" t="s">
        <v>51</v>
      </c>
      <c r="AJ332" s="1">
        <v>2015</v>
      </c>
      <c r="AK332" s="1" t="s">
        <v>99</v>
      </c>
      <c r="AL332" s="1">
        <v>18</v>
      </c>
    </row>
    <row r="333" spans="1:38" x14ac:dyDescent="0.2">
      <c r="A333" s="2" t="str">
        <f>HYPERLINK("https://www.compass.com/listing/215-sullivan-street-unit-5e-manhattan-ny-10012/4852325796527747297/","215 Sullivan St, Unit 5E")</f>
        <v>215 Sullivan St, Unit 5E</v>
      </c>
      <c r="B333" s="2" t="str">
        <f t="shared" ref="B333:B334" si="49">HYPERLINK("https://www.compass.com/building/215-sullivan-st-manhattan-ny-10012/292810405493901557/","215 Sullivan St")</f>
        <v>215 Sullivan St</v>
      </c>
      <c r="C333" s="1" t="s">
        <v>159</v>
      </c>
      <c r="D333" s="1" t="s">
        <v>41</v>
      </c>
      <c r="E333" s="3">
        <v>4556669</v>
      </c>
      <c r="F333" s="1">
        <v>2469.7391598915901</v>
      </c>
      <c r="G333" s="1">
        <v>8</v>
      </c>
      <c r="H333" s="1">
        <v>3</v>
      </c>
      <c r="I333" s="1">
        <v>3</v>
      </c>
      <c r="J333" s="1">
        <v>3</v>
      </c>
      <c r="K333" s="1">
        <v>3</v>
      </c>
      <c r="M333" s="4">
        <v>1845</v>
      </c>
      <c r="N333" s="1">
        <v>2123</v>
      </c>
      <c r="O333" s="1">
        <v>5028</v>
      </c>
      <c r="P333" s="1">
        <v>2905</v>
      </c>
      <c r="Q333" s="1" t="s">
        <v>42</v>
      </c>
      <c r="S333" s="1" t="s">
        <v>42</v>
      </c>
      <c r="T333" s="1" t="s">
        <v>153</v>
      </c>
      <c r="V333" s="5">
        <v>44225</v>
      </c>
      <c r="W333" s="5">
        <v>41976</v>
      </c>
      <c r="X333" s="1">
        <v>4475000</v>
      </c>
      <c r="Y333" s="1">
        <v>4475000</v>
      </c>
      <c r="Z333" s="5">
        <v>41976</v>
      </c>
      <c r="AA333" s="1">
        <v>4556668.75</v>
      </c>
      <c r="AB333" s="1" t="s">
        <v>252</v>
      </c>
      <c r="AC333" s="5">
        <v>42391</v>
      </c>
      <c r="AF333" s="1">
        <v>10012</v>
      </c>
      <c r="AI333" s="1" t="s">
        <v>45</v>
      </c>
      <c r="AJ333" s="1">
        <v>2014</v>
      </c>
      <c r="AK333" s="1" t="s">
        <v>99</v>
      </c>
      <c r="AL333" s="1">
        <v>25</v>
      </c>
    </row>
    <row r="334" spans="1:38" x14ac:dyDescent="0.2">
      <c r="A334" s="2" t="str">
        <f>HYPERLINK("https://www.compass.com/listing/215-sullivan-street-unit-4e-manhattan-ny-10012/4852326238515116721/","215 Sullivan St, Unit 4E")</f>
        <v>215 Sullivan St, Unit 4E</v>
      </c>
      <c r="B334" s="2" t="str">
        <f t="shared" si="49"/>
        <v>215 Sullivan St</v>
      </c>
      <c r="C334" s="1" t="s">
        <v>159</v>
      </c>
      <c r="D334" s="1" t="s">
        <v>41</v>
      </c>
      <c r="E334" s="3">
        <v>4556669</v>
      </c>
      <c r="F334" s="1">
        <v>2469.7392953929502</v>
      </c>
      <c r="G334" s="1">
        <v>8</v>
      </c>
      <c r="H334" s="1">
        <v>3</v>
      </c>
      <c r="I334" s="1">
        <v>3</v>
      </c>
      <c r="J334" s="1">
        <v>3</v>
      </c>
      <c r="M334" s="4">
        <v>1845</v>
      </c>
      <c r="N334" s="1">
        <v>2123</v>
      </c>
      <c r="O334" s="1">
        <v>5028</v>
      </c>
      <c r="P334" s="1">
        <v>2905</v>
      </c>
      <c r="Q334" s="1" t="s">
        <v>42</v>
      </c>
      <c r="S334" s="1" t="s">
        <v>42</v>
      </c>
      <c r="T334" s="1" t="s">
        <v>153</v>
      </c>
      <c r="V334" s="5">
        <v>43678</v>
      </c>
      <c r="W334" s="5">
        <v>41976</v>
      </c>
      <c r="X334" s="1">
        <v>4475000</v>
      </c>
      <c r="Y334" s="1">
        <v>4475000</v>
      </c>
      <c r="Z334" s="5">
        <v>41976</v>
      </c>
      <c r="AA334" s="1">
        <v>4556669</v>
      </c>
      <c r="AB334" s="1" t="s">
        <v>253</v>
      </c>
      <c r="AC334" s="5">
        <v>42384</v>
      </c>
      <c r="AF334" s="1">
        <v>10012</v>
      </c>
      <c r="AI334" s="1" t="s">
        <v>45</v>
      </c>
      <c r="AJ334" s="1">
        <v>2014</v>
      </c>
      <c r="AK334" s="1" t="s">
        <v>99</v>
      </c>
      <c r="AL334" s="1">
        <v>25</v>
      </c>
    </row>
    <row r="335" spans="1:38" x14ac:dyDescent="0.2">
      <c r="A335" s="2" t="str">
        <f>HYPERLINK("https://www.compass.com/listing/71-reade-street-unit-2a-manhattan-ny-10007/4852323875704289905/","71 Reade St, Unit 2A")</f>
        <v>71 Reade St, Unit 2A</v>
      </c>
      <c r="B335" s="2" t="str">
        <f>HYPERLINK("https://www.compass.com/building/reade-chambers-manhattan-ny/281897219919982101/","Reade Chambers")</f>
        <v>Reade Chambers</v>
      </c>
      <c r="C335" s="1" t="s">
        <v>65</v>
      </c>
      <c r="D335" s="1" t="s">
        <v>41</v>
      </c>
      <c r="E335" s="3">
        <v>1695000</v>
      </c>
      <c r="F335" s="1">
        <v>1710.3935418768899</v>
      </c>
      <c r="G335" s="1">
        <v>3</v>
      </c>
      <c r="H335" s="1">
        <v>1</v>
      </c>
      <c r="I335" s="1">
        <v>2</v>
      </c>
      <c r="J335" s="1">
        <v>1.5</v>
      </c>
      <c r="M335" s="1">
        <v>991</v>
      </c>
      <c r="N335" s="1">
        <v>1780</v>
      </c>
      <c r="O335" s="1">
        <v>2401</v>
      </c>
      <c r="P335" s="1">
        <v>621</v>
      </c>
      <c r="Q335" s="1" t="s">
        <v>42</v>
      </c>
      <c r="S335" s="1" t="s">
        <v>42</v>
      </c>
      <c r="T335" s="1" t="s">
        <v>153</v>
      </c>
      <c r="V335" s="5">
        <v>43654</v>
      </c>
      <c r="W335" s="5">
        <v>41976</v>
      </c>
      <c r="X335" s="1">
        <v>1695000</v>
      </c>
      <c r="Y335" s="1">
        <v>1695000</v>
      </c>
      <c r="Z335" s="5">
        <v>41976</v>
      </c>
      <c r="AA335" s="1">
        <v>1695000</v>
      </c>
      <c r="AB335" s="1" t="s">
        <v>177</v>
      </c>
      <c r="AC335" s="5">
        <v>42244</v>
      </c>
      <c r="AF335" s="1">
        <v>10007</v>
      </c>
      <c r="AI335" s="1" t="s">
        <v>53</v>
      </c>
      <c r="AJ335" s="1">
        <v>2015</v>
      </c>
      <c r="AK335" s="1" t="s">
        <v>99</v>
      </c>
      <c r="AL335" s="1">
        <v>18</v>
      </c>
    </row>
    <row r="336" spans="1:38" x14ac:dyDescent="0.2">
      <c r="A336" s="2" t="str">
        <f>HYPERLINK("https://www.compass.com/listing/215-sullivan-street-unit-6d-manhattan-ny-10012/212937653035832929/","215 Sullivan St, Unit 6D")</f>
        <v>215 Sullivan St, Unit 6D</v>
      </c>
      <c r="B336" s="2" t="str">
        <f>HYPERLINK("https://www.compass.com/building/215-sullivan-st-manhattan-ny-10012/292810405493901557/","215 Sullivan St")</f>
        <v>215 Sullivan St</v>
      </c>
      <c r="C336" s="1" t="s">
        <v>159</v>
      </c>
      <c r="D336" s="1" t="s">
        <v>41</v>
      </c>
      <c r="E336" s="3">
        <v>5500000</v>
      </c>
      <c r="F336" s="1">
        <v>3103.8374717832899</v>
      </c>
      <c r="G336" s="1">
        <v>9</v>
      </c>
      <c r="H336" s="1">
        <v>3</v>
      </c>
      <c r="I336" s="1">
        <v>3</v>
      </c>
      <c r="J336" s="1">
        <v>3</v>
      </c>
      <c r="M336" s="4">
        <v>1772</v>
      </c>
      <c r="N336" s="1">
        <v>2531</v>
      </c>
      <c r="O336" s="1">
        <v>5472</v>
      </c>
      <c r="P336" s="1">
        <v>2941</v>
      </c>
      <c r="Q336" s="1" t="s">
        <v>42</v>
      </c>
      <c r="S336" s="1" t="s">
        <v>42</v>
      </c>
      <c r="T336" s="1" t="s">
        <v>153</v>
      </c>
      <c r="U336" s="1">
        <v>9</v>
      </c>
      <c r="V336" s="5">
        <v>43654</v>
      </c>
      <c r="W336" s="5">
        <v>42410</v>
      </c>
      <c r="X336" s="1">
        <v>5500000</v>
      </c>
      <c r="Y336" s="1">
        <v>5500000</v>
      </c>
      <c r="Z336" s="5">
        <v>42419</v>
      </c>
      <c r="AA336" s="1">
        <v>5500000</v>
      </c>
      <c r="AB336" s="1" t="s">
        <v>254</v>
      </c>
      <c r="AC336" s="5">
        <v>42461</v>
      </c>
      <c r="AF336" s="1">
        <v>10012</v>
      </c>
      <c r="AI336" s="1" t="s">
        <v>233</v>
      </c>
      <c r="AJ336" s="1">
        <v>2014</v>
      </c>
      <c r="AK336" s="1" t="s">
        <v>99</v>
      </c>
      <c r="AL336" s="1">
        <v>25</v>
      </c>
    </row>
    <row r="337" spans="1:38" x14ac:dyDescent="0.2">
      <c r="A337" s="2" t="str">
        <f>HYPERLINK("https://www.compass.com/listing/71-reade-street-unit-3b-manhattan-ny-10007/4852319685661700097/","71 Reade St, Unit 3B")</f>
        <v>71 Reade St, Unit 3B</v>
      </c>
      <c r="B337" s="2" t="str">
        <f>HYPERLINK("https://www.compass.com/building/reade-chambers-manhattan-ny/281897219919982101/","Reade Chambers")</f>
        <v>Reade Chambers</v>
      </c>
      <c r="C337" s="1" t="s">
        <v>65</v>
      </c>
      <c r="D337" s="1" t="s">
        <v>41</v>
      </c>
      <c r="E337" s="3">
        <v>3450000</v>
      </c>
      <c r="F337" s="1">
        <v>1782.9457364340999</v>
      </c>
      <c r="G337" s="1">
        <v>5</v>
      </c>
      <c r="H337" s="1">
        <v>3</v>
      </c>
      <c r="I337" s="1">
        <v>4</v>
      </c>
      <c r="J337" s="1">
        <v>3.5</v>
      </c>
      <c r="M337" s="4">
        <v>1935</v>
      </c>
      <c r="N337" s="1">
        <v>3494</v>
      </c>
      <c r="O337" s="1">
        <v>4714</v>
      </c>
      <c r="P337" s="1">
        <v>1220</v>
      </c>
      <c r="Q337" s="1" t="s">
        <v>42</v>
      </c>
      <c r="S337" s="1" t="s">
        <v>42</v>
      </c>
      <c r="T337" s="1" t="s">
        <v>153</v>
      </c>
      <c r="V337" s="5">
        <v>43651</v>
      </c>
      <c r="W337" s="5">
        <v>41976</v>
      </c>
      <c r="X337" s="1">
        <v>3450000</v>
      </c>
      <c r="Y337" s="1">
        <v>3450000</v>
      </c>
      <c r="Z337" s="5">
        <v>41976</v>
      </c>
      <c r="AA337" s="1">
        <v>3450000</v>
      </c>
      <c r="AB337" s="1" t="s">
        <v>177</v>
      </c>
      <c r="AC337" s="5">
        <v>42235</v>
      </c>
      <c r="AF337" s="1">
        <v>10007</v>
      </c>
      <c r="AI337" s="1" t="s">
        <v>53</v>
      </c>
      <c r="AJ337" s="1">
        <v>2015</v>
      </c>
      <c r="AK337" s="1" t="s">
        <v>99</v>
      </c>
      <c r="AL337" s="1">
        <v>18</v>
      </c>
    </row>
    <row r="338" spans="1:38" x14ac:dyDescent="0.2">
      <c r="A338" s="2" t="str">
        <f>HYPERLINK("https://www.compass.com/listing/438-east-12th-street-unit-2e-manhattan-ny-10009/29361645725770145/","438 E 12th St, Unit 2E")</f>
        <v>438 E 12th St, Unit 2E</v>
      </c>
      <c r="B338" s="2" t="str">
        <f t="shared" ref="B338:B339" si="50">HYPERLINK("https://www.compass.com/building/steiner-east-village-manhattan-ny/281900317572873557/","Steiner East Village")</f>
        <v>Steiner East Village</v>
      </c>
      <c r="C338" s="1" t="s">
        <v>52</v>
      </c>
      <c r="D338" s="1" t="s">
        <v>41</v>
      </c>
      <c r="E338" s="3">
        <v>1909219</v>
      </c>
      <c r="F338" s="1">
        <v>1841.0983606557299</v>
      </c>
      <c r="G338" s="1">
        <v>4</v>
      </c>
      <c r="H338" s="1">
        <v>2</v>
      </c>
      <c r="I338" s="1">
        <v>2</v>
      </c>
      <c r="J338" s="1">
        <v>2</v>
      </c>
      <c r="K338" s="1">
        <v>2</v>
      </c>
      <c r="M338" s="4">
        <v>1037</v>
      </c>
      <c r="N338" s="1">
        <v>1090</v>
      </c>
      <c r="O338" s="1">
        <v>2567</v>
      </c>
      <c r="P338" s="1">
        <v>1477</v>
      </c>
      <c r="Q338" s="1" t="s">
        <v>42</v>
      </c>
      <c r="S338" s="1" t="s">
        <v>42</v>
      </c>
      <c r="T338" s="1" t="s">
        <v>153</v>
      </c>
      <c r="U338" s="1">
        <v>1</v>
      </c>
      <c r="V338" s="5">
        <v>43654</v>
      </c>
      <c r="W338" s="5">
        <v>42469</v>
      </c>
      <c r="X338" s="1">
        <v>1875000</v>
      </c>
      <c r="Y338" s="1">
        <v>1875000</v>
      </c>
      <c r="Z338" s="5">
        <v>42470</v>
      </c>
      <c r="AA338" s="1">
        <v>1909219</v>
      </c>
      <c r="AB338" s="1" t="s">
        <v>255</v>
      </c>
      <c r="AC338" s="5">
        <v>43190</v>
      </c>
      <c r="AF338" s="1">
        <v>10009</v>
      </c>
      <c r="AI338" s="1" t="s">
        <v>71</v>
      </c>
      <c r="AJ338" s="1">
        <v>2017</v>
      </c>
      <c r="AK338" s="1" t="s">
        <v>49</v>
      </c>
      <c r="AL338" s="1">
        <v>82</v>
      </c>
    </row>
    <row r="339" spans="1:38" x14ac:dyDescent="0.2">
      <c r="A339" s="2" t="str">
        <f>HYPERLINK("https://www.compass.com/listing/438-east-12th-street-unit-gardena-manhattan-ny-10009/29514450839048689/","438 E 12th St, Unit GARDENA")</f>
        <v>438 E 12th St, Unit GARDENA</v>
      </c>
      <c r="B339" s="2" t="str">
        <f t="shared" si="50"/>
        <v>Steiner East Village</v>
      </c>
      <c r="C339" s="1" t="s">
        <v>52</v>
      </c>
      <c r="D339" s="1" t="s">
        <v>41</v>
      </c>
      <c r="E339" s="3">
        <v>1925000</v>
      </c>
      <c r="F339" s="1">
        <v>1874.3914313534499</v>
      </c>
      <c r="G339" s="1">
        <v>4</v>
      </c>
      <c r="H339" s="1">
        <v>2</v>
      </c>
      <c r="I339" s="1">
        <v>2</v>
      </c>
      <c r="J339" s="1">
        <v>2</v>
      </c>
      <c r="K339" s="1">
        <v>2</v>
      </c>
      <c r="M339" s="4">
        <v>1027</v>
      </c>
      <c r="N339" s="1">
        <v>1193</v>
      </c>
      <c r="O339" s="1">
        <v>2810</v>
      </c>
      <c r="P339" s="1">
        <v>1617</v>
      </c>
      <c r="Q339" s="1" t="s">
        <v>42</v>
      </c>
      <c r="S339" s="1" t="s">
        <v>42</v>
      </c>
      <c r="T339" s="1" t="s">
        <v>153</v>
      </c>
      <c r="U339" s="1">
        <v>1</v>
      </c>
      <c r="V339" s="5">
        <v>43641</v>
      </c>
      <c r="W339" s="5">
        <v>42469</v>
      </c>
      <c r="X339" s="1">
        <v>1925000</v>
      </c>
      <c r="Y339" s="1">
        <v>1925000</v>
      </c>
      <c r="Z339" s="5">
        <v>42470</v>
      </c>
      <c r="AA339" s="1">
        <v>1925000</v>
      </c>
      <c r="AB339" s="1" t="s">
        <v>177</v>
      </c>
      <c r="AC339" s="5">
        <v>43168</v>
      </c>
      <c r="AF339" s="1">
        <v>10009</v>
      </c>
      <c r="AI339" s="1" t="s">
        <v>71</v>
      </c>
      <c r="AJ339" s="1">
        <v>2017</v>
      </c>
      <c r="AK339" s="1" t="s">
        <v>49</v>
      </c>
      <c r="AL339" s="1">
        <v>82</v>
      </c>
    </row>
    <row r="340" spans="1:38" x14ac:dyDescent="0.2">
      <c r="A340" s="2" t="str">
        <f>HYPERLINK("https://www.compass.com/listing/160-west-12th-street-unit-65-manhattan-ny-10011/29367258895743089/","160 W 12th St, Unit 65")</f>
        <v>160 W 12th St, Unit 65</v>
      </c>
      <c r="B340" s="2" t="str">
        <f>HYPERLINK("https://www.compass.com/building/the-greenwich-lane-manhattan-ny/282059161326355877/","The Greenwich Lane")</f>
        <v>The Greenwich Lane</v>
      </c>
      <c r="C340" s="1" t="s">
        <v>40</v>
      </c>
      <c r="D340" s="1" t="s">
        <v>41</v>
      </c>
      <c r="E340" s="3">
        <v>2475000</v>
      </c>
      <c r="F340" s="1">
        <v>2774.66367713004</v>
      </c>
      <c r="G340" s="1">
        <v>3</v>
      </c>
      <c r="H340" s="1">
        <v>1</v>
      </c>
      <c r="I340" s="1">
        <v>1</v>
      </c>
      <c r="J340" s="1">
        <v>1</v>
      </c>
      <c r="K340" s="1">
        <v>1</v>
      </c>
      <c r="M340" s="1">
        <v>892</v>
      </c>
      <c r="N340" s="1">
        <v>1548</v>
      </c>
      <c r="O340" s="1">
        <v>3066</v>
      </c>
      <c r="P340" s="1">
        <v>1518</v>
      </c>
      <c r="Q340" s="1" t="s">
        <v>42</v>
      </c>
      <c r="S340" s="1" t="s">
        <v>42</v>
      </c>
      <c r="T340" s="1" t="s">
        <v>153</v>
      </c>
      <c r="U340" s="1">
        <v>74</v>
      </c>
      <c r="V340" s="5">
        <v>43631</v>
      </c>
      <c r="W340" s="5">
        <v>42470</v>
      </c>
      <c r="X340" s="1">
        <v>2590000</v>
      </c>
      <c r="Y340" s="1">
        <v>2590000</v>
      </c>
      <c r="Z340" s="5">
        <v>42544</v>
      </c>
      <c r="AA340" s="1">
        <v>2475000</v>
      </c>
      <c r="AB340" s="1" t="s">
        <v>256</v>
      </c>
      <c r="AC340" s="5">
        <v>42601</v>
      </c>
      <c r="AF340" s="1">
        <v>10011</v>
      </c>
      <c r="AI340" s="1" t="s">
        <v>45</v>
      </c>
      <c r="AJ340" s="1">
        <v>2016</v>
      </c>
      <c r="AK340" s="1" t="s">
        <v>46</v>
      </c>
      <c r="AL340" s="1">
        <v>57</v>
      </c>
    </row>
    <row r="341" spans="1:38" x14ac:dyDescent="0.2">
      <c r="A341" s="2" t="str">
        <f>HYPERLINK("https://www.compass.com/listing/71-reade-street-unit-2c-manhattan-ny-10007/4852319684143361777/","71 Reade St, Unit 2C")</f>
        <v>71 Reade St, Unit 2C</v>
      </c>
      <c r="B341" s="2" t="str">
        <f>HYPERLINK("https://www.compass.com/building/reade-chambers-manhattan-ny/281897219919982101/","Reade Chambers")</f>
        <v>Reade Chambers</v>
      </c>
      <c r="C341" s="1" t="s">
        <v>65</v>
      </c>
      <c r="D341" s="1" t="s">
        <v>41</v>
      </c>
      <c r="E341" s="3">
        <v>1550000</v>
      </c>
      <c r="F341" s="1">
        <v>1834.3195266272101</v>
      </c>
      <c r="G341" s="1">
        <v>3</v>
      </c>
      <c r="H341" s="1">
        <v>1</v>
      </c>
      <c r="I341" s="1">
        <v>2</v>
      </c>
      <c r="J341" s="1">
        <v>1.5</v>
      </c>
      <c r="M341" s="1">
        <v>845</v>
      </c>
      <c r="N341" s="1">
        <v>1518</v>
      </c>
      <c r="O341" s="1">
        <v>2048</v>
      </c>
      <c r="P341" s="1">
        <v>530</v>
      </c>
      <c r="Q341" s="1" t="s">
        <v>42</v>
      </c>
      <c r="S341" s="1" t="s">
        <v>42</v>
      </c>
      <c r="T341" s="1" t="s">
        <v>153</v>
      </c>
      <c r="V341" s="5">
        <v>43651</v>
      </c>
      <c r="W341" s="5">
        <v>41976</v>
      </c>
      <c r="X341" s="1">
        <v>1550000</v>
      </c>
      <c r="Y341" s="1">
        <v>1550000</v>
      </c>
      <c r="Z341" s="5">
        <v>41976</v>
      </c>
      <c r="AA341" s="1">
        <v>1550000</v>
      </c>
      <c r="AB341" s="1" t="s">
        <v>177</v>
      </c>
      <c r="AC341" s="5">
        <v>42235</v>
      </c>
      <c r="AF341" s="1">
        <v>10007</v>
      </c>
      <c r="AI341" s="1" t="s">
        <v>53</v>
      </c>
      <c r="AJ341" s="1">
        <v>2015</v>
      </c>
      <c r="AK341" s="1" t="s">
        <v>99</v>
      </c>
      <c r="AL341" s="1">
        <v>18</v>
      </c>
    </row>
    <row r="342" spans="1:38" x14ac:dyDescent="0.2">
      <c r="A342" s="2" t="str">
        <f>HYPERLINK("https://www.compass.com/listing/438-east-12th-street-unit-3j-manhattan-ny-10009/751146761331472265/","438 E 12th St, Unit 3J")</f>
        <v>438 E 12th St, Unit 3J</v>
      </c>
      <c r="B342" s="2" t="str">
        <f>HYPERLINK("https://www.compass.com/building/steiner-east-village-manhattan-ny/281900317572873557/","Steiner East Village")</f>
        <v>Steiner East Village</v>
      </c>
      <c r="C342" s="1" t="s">
        <v>52</v>
      </c>
      <c r="D342" s="1" t="s">
        <v>41</v>
      </c>
      <c r="E342" s="3">
        <v>2695000</v>
      </c>
      <c r="F342" s="1">
        <v>2345.51784160139</v>
      </c>
      <c r="G342" s="1">
        <v>5</v>
      </c>
      <c r="H342" s="1">
        <v>2</v>
      </c>
      <c r="J342" s="1">
        <v>2</v>
      </c>
      <c r="M342" s="4">
        <v>1149</v>
      </c>
      <c r="N342" s="1">
        <v>1545</v>
      </c>
      <c r="O342" s="1">
        <v>4051</v>
      </c>
      <c r="P342" s="1">
        <v>2506</v>
      </c>
      <c r="Q342" s="1" t="s">
        <v>42</v>
      </c>
      <c r="S342" s="1" t="s">
        <v>42</v>
      </c>
      <c r="T342" s="1" t="s">
        <v>153</v>
      </c>
      <c r="U342" s="1">
        <v>62</v>
      </c>
      <c r="V342" s="5">
        <v>44421</v>
      </c>
      <c r="W342" s="5">
        <v>44287</v>
      </c>
      <c r="X342" s="1">
        <v>2895000</v>
      </c>
      <c r="Y342" s="1">
        <v>2895000</v>
      </c>
      <c r="Z342" s="5">
        <v>44349</v>
      </c>
      <c r="AA342" s="1">
        <v>2695000</v>
      </c>
      <c r="AB342" s="1" t="s">
        <v>257</v>
      </c>
      <c r="AC342" s="5">
        <v>44413</v>
      </c>
      <c r="AF342" s="1">
        <v>10009</v>
      </c>
      <c r="AI342" s="1" t="s">
        <v>53</v>
      </c>
      <c r="AJ342" s="1">
        <v>2017</v>
      </c>
      <c r="AK342" s="1" t="s">
        <v>49</v>
      </c>
      <c r="AL342" s="1">
        <v>82</v>
      </c>
    </row>
    <row r="343" spans="1:38" x14ac:dyDescent="0.2">
      <c r="A343" s="2" t="str">
        <f>HYPERLINK("https://www.compass.com/listing/2-park-place-unit-44b-manhattan-ny-10007/29513469749402033/","2 Park Pl, Unit 44B")</f>
        <v>2 Park Pl, Unit 44B</v>
      </c>
      <c r="B343" s="2" t="str">
        <f>HYPERLINK("https://www.compass.com/building/the-woolworth-tower-residences-manhattan-ny/294842395015266853/","The Woolworth Tower Residences")</f>
        <v>The Woolworth Tower Residences</v>
      </c>
      <c r="C343" s="1" t="s">
        <v>65</v>
      </c>
      <c r="D343" s="1" t="s">
        <v>41</v>
      </c>
      <c r="E343" s="3">
        <v>3018000</v>
      </c>
      <c r="F343" s="1">
        <v>2332.3029366306</v>
      </c>
      <c r="G343" s="1">
        <v>3</v>
      </c>
      <c r="H343" s="1">
        <v>1</v>
      </c>
      <c r="I343" s="1">
        <v>2</v>
      </c>
      <c r="J343" s="1">
        <v>1.5</v>
      </c>
      <c r="K343" s="1">
        <v>1</v>
      </c>
      <c r="L343" s="1">
        <v>1</v>
      </c>
      <c r="M343" s="4">
        <v>1294</v>
      </c>
      <c r="N343" s="1">
        <v>1942</v>
      </c>
      <c r="O343" s="1">
        <v>3758</v>
      </c>
      <c r="P343" s="1">
        <v>1816</v>
      </c>
      <c r="Q343" s="1" t="s">
        <v>42</v>
      </c>
      <c r="S343" s="1" t="s">
        <v>42</v>
      </c>
      <c r="T343" s="1" t="s">
        <v>153</v>
      </c>
      <c r="U343" s="1">
        <v>293</v>
      </c>
      <c r="V343" s="5">
        <v>44342</v>
      </c>
      <c r="W343" s="5">
        <v>43040</v>
      </c>
      <c r="X343" s="1">
        <v>3875000</v>
      </c>
      <c r="Y343" s="1">
        <v>3875000</v>
      </c>
      <c r="Z343" s="5">
        <v>43333</v>
      </c>
      <c r="AA343" s="1">
        <v>3018000</v>
      </c>
      <c r="AB343" s="1" t="s">
        <v>258</v>
      </c>
      <c r="AC343" s="5">
        <v>43395</v>
      </c>
      <c r="AF343" s="1">
        <v>10007</v>
      </c>
      <c r="AJ343" s="1">
        <v>1913</v>
      </c>
      <c r="AK343" s="1" t="s">
        <v>46</v>
      </c>
      <c r="AL343" s="1">
        <v>32</v>
      </c>
    </row>
    <row r="344" spans="1:38" x14ac:dyDescent="0.2">
      <c r="A344" s="2" t="str">
        <f>HYPERLINK("https://www.compass.com/listing/71-reade-street-unit-phc-manhattan-ny-10007/4852321478609208817/","71 Reade St, Unit PHC")</f>
        <v>71 Reade St, Unit PHC</v>
      </c>
      <c r="B344" s="2" t="str">
        <f>HYPERLINK("https://www.compass.com/building/reade-chambers-manhattan-ny/281897219919982101/","Reade Chambers")</f>
        <v>Reade Chambers</v>
      </c>
      <c r="C344" s="1" t="s">
        <v>65</v>
      </c>
      <c r="D344" s="1" t="s">
        <v>41</v>
      </c>
      <c r="E344" s="3">
        <v>4533212</v>
      </c>
      <c r="F344" s="1">
        <v>2794.8286066584401</v>
      </c>
      <c r="G344" s="1">
        <v>4</v>
      </c>
      <c r="H344" s="1">
        <v>2</v>
      </c>
      <c r="I344" s="1">
        <v>3</v>
      </c>
      <c r="J344" s="1">
        <v>2.5</v>
      </c>
      <c r="M344" s="4">
        <v>1622</v>
      </c>
      <c r="N344" s="1">
        <v>3327</v>
      </c>
      <c r="O344" s="1">
        <v>4488</v>
      </c>
      <c r="P344" s="1">
        <v>1161</v>
      </c>
      <c r="Q344" s="1" t="s">
        <v>42</v>
      </c>
      <c r="S344" s="1" t="s">
        <v>42</v>
      </c>
      <c r="T344" s="1" t="s">
        <v>153</v>
      </c>
      <c r="V344" s="5">
        <v>43650</v>
      </c>
      <c r="W344" s="5">
        <v>41976</v>
      </c>
      <c r="X344" s="1">
        <v>4150000</v>
      </c>
      <c r="Y344" s="1">
        <v>4150000</v>
      </c>
      <c r="Z344" s="5">
        <v>41976</v>
      </c>
      <c r="AA344" s="1">
        <v>4533212</v>
      </c>
      <c r="AB344" s="1" t="s">
        <v>177</v>
      </c>
      <c r="AC344" s="5">
        <v>42256</v>
      </c>
      <c r="AF344" s="1">
        <v>10007</v>
      </c>
      <c r="AI344" s="1" t="s">
        <v>259</v>
      </c>
      <c r="AJ344" s="1">
        <v>2015</v>
      </c>
      <c r="AK344" s="1" t="s">
        <v>99</v>
      </c>
      <c r="AL344" s="1">
        <v>18</v>
      </c>
    </row>
    <row r="345" spans="1:38" x14ac:dyDescent="0.2">
      <c r="A345" s="2" t="str">
        <f>HYPERLINK("https://www.compass.com/listing/77-warren-street-unit-5-manhattan-ny-10007/29509704547833121/","77 Warren St, Unit 5")</f>
        <v>77 Warren St, Unit 5</v>
      </c>
      <c r="B345" s="2" t="str">
        <f>HYPERLINK("https://www.compass.com/building/77-warren-street-manhattan-ny/281897165184312741/","77 Warren Street")</f>
        <v>77 Warren Street</v>
      </c>
      <c r="C345" s="1" t="s">
        <v>65</v>
      </c>
      <c r="D345" s="1" t="s">
        <v>41</v>
      </c>
      <c r="E345" s="3">
        <v>3920263</v>
      </c>
      <c r="F345" s="1">
        <v>2596.2006622516501</v>
      </c>
      <c r="G345" s="1">
        <v>5</v>
      </c>
      <c r="H345" s="1">
        <v>2</v>
      </c>
      <c r="I345" s="1">
        <v>2</v>
      </c>
      <c r="J345" s="1">
        <v>2</v>
      </c>
      <c r="M345" s="4">
        <v>1510</v>
      </c>
      <c r="N345" s="1">
        <v>1437</v>
      </c>
      <c r="O345" s="1">
        <v>2934</v>
      </c>
      <c r="P345" s="1">
        <v>1497</v>
      </c>
      <c r="Q345" s="1" t="s">
        <v>42</v>
      </c>
      <c r="S345" s="1" t="s">
        <v>42</v>
      </c>
      <c r="T345" s="1" t="s">
        <v>153</v>
      </c>
      <c r="V345" s="5">
        <v>43689</v>
      </c>
      <c r="W345" s="5">
        <v>41976</v>
      </c>
      <c r="X345" s="1">
        <v>3850000</v>
      </c>
      <c r="Y345" s="1">
        <v>3850000</v>
      </c>
      <c r="Z345" s="5">
        <v>41976</v>
      </c>
      <c r="AA345" s="1">
        <v>3920263</v>
      </c>
      <c r="AB345" s="1" t="s">
        <v>260</v>
      </c>
      <c r="AC345" s="5">
        <v>42013</v>
      </c>
      <c r="AF345" s="1">
        <v>10007</v>
      </c>
      <c r="AI345" s="1" t="s">
        <v>147</v>
      </c>
      <c r="AJ345" s="1">
        <v>1905</v>
      </c>
      <c r="AL345" s="1">
        <v>4</v>
      </c>
    </row>
    <row r="346" spans="1:38" x14ac:dyDescent="0.2">
      <c r="A346" s="2" t="str">
        <f>HYPERLINK("https://www.compass.com/listing/438-east-12th-street-unit-3a-manhattan-ny-10009/29361648108172737/","438 E 12th St, Unit 3A")</f>
        <v>438 E 12th St, Unit 3A</v>
      </c>
      <c r="B346" s="2" t="str">
        <f t="shared" ref="B346:B347" si="51">HYPERLINK("https://www.compass.com/building/steiner-east-village-manhattan-ny/281900317572873557/","Steiner East Village")</f>
        <v>Steiner East Village</v>
      </c>
      <c r="C346" s="1" t="s">
        <v>52</v>
      </c>
      <c r="D346" s="1" t="s">
        <v>41</v>
      </c>
      <c r="E346" s="3">
        <v>1630000</v>
      </c>
      <c r="F346" s="1">
        <v>2190.8602150537599</v>
      </c>
      <c r="G346" s="1">
        <v>3</v>
      </c>
      <c r="H346" s="1">
        <v>1</v>
      </c>
      <c r="I346" s="1">
        <v>1</v>
      </c>
      <c r="J346" s="1">
        <v>1</v>
      </c>
      <c r="K346" s="1">
        <v>1</v>
      </c>
      <c r="M346" s="1">
        <v>744</v>
      </c>
      <c r="N346" s="1">
        <v>782</v>
      </c>
      <c r="O346" s="1">
        <v>1842</v>
      </c>
      <c r="P346" s="1">
        <v>1060</v>
      </c>
      <c r="Q346" s="1" t="s">
        <v>42</v>
      </c>
      <c r="S346" s="1" t="s">
        <v>42</v>
      </c>
      <c r="T346" s="1" t="s">
        <v>153</v>
      </c>
      <c r="U346" s="1">
        <v>43</v>
      </c>
      <c r="V346" s="5">
        <v>43648</v>
      </c>
      <c r="W346" s="5">
        <v>43175</v>
      </c>
      <c r="X346" s="1">
        <v>1750000</v>
      </c>
      <c r="Y346" s="1">
        <v>1650000</v>
      </c>
      <c r="Z346" s="5">
        <v>43218</v>
      </c>
      <c r="AA346" s="1">
        <v>1630000</v>
      </c>
      <c r="AB346" s="1" t="s">
        <v>261</v>
      </c>
      <c r="AC346" s="5">
        <v>43279</v>
      </c>
      <c r="AF346" s="1">
        <v>10009</v>
      </c>
      <c r="AI346" s="1" t="s">
        <v>71</v>
      </c>
      <c r="AJ346" s="1">
        <v>2017</v>
      </c>
      <c r="AK346" s="1" t="s">
        <v>46</v>
      </c>
      <c r="AL346" s="1">
        <v>82</v>
      </c>
    </row>
    <row r="347" spans="1:38" x14ac:dyDescent="0.2">
      <c r="A347" s="2" t="str">
        <f>HYPERLINK("https://www.compass.com/listing/438-east-12th-street-unit-4p-manhattan-ny-10009/29361658820387489/","438 E 12th St, Unit 4P")</f>
        <v>438 E 12th St, Unit 4P</v>
      </c>
      <c r="B347" s="2" t="str">
        <f t="shared" si="51"/>
        <v>Steiner East Village</v>
      </c>
      <c r="C347" s="1" t="s">
        <v>52</v>
      </c>
      <c r="D347" s="1" t="s">
        <v>41</v>
      </c>
      <c r="E347" s="3">
        <v>1298269</v>
      </c>
      <c r="F347" s="1">
        <v>1961.1310422960701</v>
      </c>
      <c r="G347" s="1">
        <v>3</v>
      </c>
      <c r="H347" s="1">
        <v>1</v>
      </c>
      <c r="I347" s="1">
        <v>1</v>
      </c>
      <c r="J347" s="1">
        <v>1</v>
      </c>
      <c r="K347" s="1">
        <v>1</v>
      </c>
      <c r="M347" s="1">
        <v>662</v>
      </c>
      <c r="N347" s="1">
        <v>696</v>
      </c>
      <c r="O347" s="1">
        <v>1639</v>
      </c>
      <c r="P347" s="1">
        <v>943</v>
      </c>
      <c r="Q347" s="1" t="s">
        <v>42</v>
      </c>
      <c r="S347" s="1" t="s">
        <v>42</v>
      </c>
      <c r="T347" s="1" t="s">
        <v>153</v>
      </c>
      <c r="U347" s="1">
        <v>224</v>
      </c>
      <c r="V347" s="5">
        <v>43463</v>
      </c>
      <c r="W347" s="5">
        <v>42902</v>
      </c>
      <c r="X347" s="1">
        <v>1600000</v>
      </c>
      <c r="Y347" s="1">
        <v>1600000</v>
      </c>
      <c r="AA347" s="1">
        <v>1298268.75</v>
      </c>
      <c r="AB347" s="1" t="s">
        <v>262</v>
      </c>
      <c r="AC347" s="5">
        <v>43126</v>
      </c>
      <c r="AF347" s="1">
        <v>10009</v>
      </c>
      <c r="AI347" s="1" t="s">
        <v>71</v>
      </c>
      <c r="AJ347" s="1">
        <v>2017</v>
      </c>
      <c r="AK347" s="1" t="s">
        <v>46</v>
      </c>
      <c r="AL347" s="1">
        <v>82</v>
      </c>
    </row>
    <row r="348" spans="1:38" x14ac:dyDescent="0.2">
      <c r="A348" s="2" t="str">
        <f>HYPERLINK("https://www.compass.com/listing/215-sullivan-street-unit-thd-manhattan-ny-10012/50847276490365537/","215 Sullivan St, Unit THD")</f>
        <v>215 Sullivan St, Unit THD</v>
      </c>
      <c r="B348" s="2" t="str">
        <f>HYPERLINK("https://www.compass.com/building/215-sullivan-st-manhattan-ny-10012/292810405493901557/","215 Sullivan St")</f>
        <v>215 Sullivan St</v>
      </c>
      <c r="C348" s="1" t="s">
        <v>159</v>
      </c>
      <c r="D348" s="1" t="s">
        <v>41</v>
      </c>
      <c r="E348" s="3">
        <v>13598694</v>
      </c>
      <c r="F348" s="1">
        <v>2931.3847812028398</v>
      </c>
      <c r="G348" s="1">
        <v>8</v>
      </c>
      <c r="H348" s="1">
        <v>5</v>
      </c>
      <c r="I348" s="1">
        <v>6</v>
      </c>
      <c r="J348" s="1">
        <v>5.5</v>
      </c>
      <c r="M348" s="4">
        <v>4639</v>
      </c>
      <c r="N348" s="1">
        <v>7279</v>
      </c>
      <c r="O348" s="1">
        <v>16197</v>
      </c>
      <c r="P348" s="1">
        <v>8918</v>
      </c>
      <c r="Q348" s="1" t="s">
        <v>42</v>
      </c>
      <c r="S348" s="1" t="s">
        <v>42</v>
      </c>
      <c r="T348" s="1" t="s">
        <v>153</v>
      </c>
      <c r="V348" s="5">
        <v>43636</v>
      </c>
      <c r="W348" s="5">
        <v>41976</v>
      </c>
      <c r="X348" s="1">
        <v>13250000</v>
      </c>
      <c r="Y348" s="1">
        <v>13250000</v>
      </c>
      <c r="Z348" s="5">
        <v>41976</v>
      </c>
      <c r="AA348" s="1">
        <v>13598694</v>
      </c>
      <c r="AB348" s="1" t="s">
        <v>263</v>
      </c>
      <c r="AC348" s="5">
        <v>42361</v>
      </c>
      <c r="AF348" s="1">
        <v>10012</v>
      </c>
      <c r="AI348" s="1" t="s">
        <v>80</v>
      </c>
      <c r="AJ348" s="1">
        <v>2014</v>
      </c>
      <c r="AK348" s="1" t="s">
        <v>99</v>
      </c>
      <c r="AL348" s="1">
        <v>25</v>
      </c>
    </row>
    <row r="349" spans="1:38" x14ac:dyDescent="0.2">
      <c r="A349" s="2" t="str">
        <f>HYPERLINK("https://www.compass.com/listing/71-reade-street-unit-3d-manhattan-ny-10007/4852319706079572337/","71 Reade St, Unit 3D")</f>
        <v>71 Reade St, Unit 3D</v>
      </c>
      <c r="B349" s="2" t="str">
        <f>HYPERLINK("https://www.compass.com/building/reade-chambers-manhattan-ny/281897219919982101/","Reade Chambers")</f>
        <v>Reade Chambers</v>
      </c>
      <c r="C349" s="1" t="s">
        <v>65</v>
      </c>
      <c r="D349" s="1" t="s">
        <v>41</v>
      </c>
      <c r="E349" s="3">
        <v>2700000</v>
      </c>
      <c r="F349" s="1">
        <v>1703.4700315457401</v>
      </c>
      <c r="G349" s="1">
        <v>4</v>
      </c>
      <c r="H349" s="1">
        <v>2</v>
      </c>
      <c r="I349" s="1">
        <v>3</v>
      </c>
      <c r="J349" s="1">
        <v>3</v>
      </c>
      <c r="K349" s="1">
        <v>3</v>
      </c>
      <c r="M349" s="4">
        <v>1585</v>
      </c>
      <c r="N349" s="1">
        <v>2873</v>
      </c>
      <c r="O349" s="1">
        <v>2873</v>
      </c>
      <c r="Q349" s="1" t="s">
        <v>42</v>
      </c>
      <c r="S349" s="1" t="s">
        <v>42</v>
      </c>
      <c r="T349" s="1" t="s">
        <v>153</v>
      </c>
      <c r="V349" s="5">
        <v>44245</v>
      </c>
      <c r="W349" s="5">
        <v>41976</v>
      </c>
      <c r="X349" s="1">
        <v>2700000</v>
      </c>
      <c r="Y349" s="1">
        <v>2700000</v>
      </c>
      <c r="Z349" s="5">
        <v>41976</v>
      </c>
      <c r="AA349" s="1">
        <v>2700000</v>
      </c>
      <c r="AB349" s="1" t="s">
        <v>177</v>
      </c>
      <c r="AC349" s="5">
        <v>42259</v>
      </c>
      <c r="AF349" s="1">
        <v>10007</v>
      </c>
      <c r="AI349" s="1" t="s">
        <v>53</v>
      </c>
      <c r="AJ349" s="1">
        <v>2015</v>
      </c>
      <c r="AK349" s="1" t="s">
        <v>99</v>
      </c>
      <c r="AL349" s="1">
        <v>18</v>
      </c>
    </row>
    <row r="350" spans="1:38" x14ac:dyDescent="0.2">
      <c r="A350" s="2" t="str">
        <f>HYPERLINK("https://www.compass.com/listing/438-east-12th-street-unit-3s-manhattan-ny-10009/29361653074228769/","438 E 12th St, Unit 3S")</f>
        <v>438 E 12th St, Unit 3S</v>
      </c>
      <c r="B350" s="2" t="str">
        <f t="shared" ref="B350:B352" si="52">HYPERLINK("https://www.compass.com/building/steiner-east-village-manhattan-ny/281900317572873557/","Steiner East Village")</f>
        <v>Steiner East Village</v>
      </c>
      <c r="C350" s="1" t="s">
        <v>52</v>
      </c>
      <c r="D350" s="1" t="s">
        <v>41</v>
      </c>
      <c r="E350" s="3">
        <v>1588470</v>
      </c>
      <c r="F350" s="1">
        <v>1700.71734475374</v>
      </c>
      <c r="G350" s="1">
        <v>3</v>
      </c>
      <c r="H350" s="1">
        <v>1</v>
      </c>
      <c r="I350" s="1">
        <v>2</v>
      </c>
      <c r="J350" s="1">
        <v>1.5</v>
      </c>
      <c r="K350" s="1">
        <v>1</v>
      </c>
      <c r="L350" s="1">
        <v>1</v>
      </c>
      <c r="M350" s="1">
        <v>934</v>
      </c>
      <c r="N350" s="1">
        <v>981</v>
      </c>
      <c r="O350" s="1">
        <v>2311</v>
      </c>
      <c r="P350" s="1">
        <v>1330</v>
      </c>
      <c r="Q350" s="1" t="s">
        <v>42</v>
      </c>
      <c r="S350" s="1" t="s">
        <v>42</v>
      </c>
      <c r="T350" s="1" t="s">
        <v>153</v>
      </c>
      <c r="V350" s="5">
        <v>43649</v>
      </c>
      <c r="W350" s="5">
        <v>42481</v>
      </c>
      <c r="X350" s="1">
        <v>1645000</v>
      </c>
      <c r="Y350" s="1">
        <v>1645000</v>
      </c>
      <c r="Z350" s="5">
        <v>42481</v>
      </c>
      <c r="AA350" s="1">
        <v>1588470</v>
      </c>
      <c r="AB350" s="1" t="s">
        <v>264</v>
      </c>
      <c r="AC350" s="5">
        <v>43143</v>
      </c>
      <c r="AF350" s="1">
        <v>10009</v>
      </c>
      <c r="AI350" s="1" t="s">
        <v>71</v>
      </c>
      <c r="AJ350" s="1">
        <v>2017</v>
      </c>
      <c r="AK350" s="1" t="s">
        <v>49</v>
      </c>
      <c r="AL350" s="1">
        <v>82</v>
      </c>
    </row>
    <row r="351" spans="1:38" x14ac:dyDescent="0.2">
      <c r="A351" s="2" t="str">
        <f>HYPERLINK("https://www.compass.com/listing/438-east-12th-street-unit-5e-manhattan-ny-10009/29361664021234017/","438 E 12th St, Unit 5E")</f>
        <v>438 E 12th St, Unit 5E</v>
      </c>
      <c r="B351" s="2" t="str">
        <f t="shared" si="52"/>
        <v>Steiner East Village</v>
      </c>
      <c r="C351" s="1" t="s">
        <v>52</v>
      </c>
      <c r="D351" s="1" t="s">
        <v>41</v>
      </c>
      <c r="E351" s="3">
        <v>1588470</v>
      </c>
      <c r="F351" s="1">
        <v>1927.75485436893</v>
      </c>
      <c r="G351" s="1">
        <v>3</v>
      </c>
      <c r="H351" s="1">
        <v>1</v>
      </c>
      <c r="I351" s="1">
        <v>2</v>
      </c>
      <c r="J351" s="1">
        <v>1.5</v>
      </c>
      <c r="K351" s="1">
        <v>1</v>
      </c>
      <c r="L351" s="1">
        <v>1</v>
      </c>
      <c r="M351" s="1">
        <v>824</v>
      </c>
      <c r="N351" s="1">
        <v>866</v>
      </c>
      <c r="O351" s="1">
        <v>2040</v>
      </c>
      <c r="P351" s="1">
        <v>1174</v>
      </c>
      <c r="Q351" s="1" t="s">
        <v>42</v>
      </c>
      <c r="S351" s="1" t="s">
        <v>42</v>
      </c>
      <c r="T351" s="1" t="s">
        <v>153</v>
      </c>
      <c r="U351" s="1">
        <v>1</v>
      </c>
      <c r="V351" s="5">
        <v>44338</v>
      </c>
      <c r="W351" s="5">
        <v>42469</v>
      </c>
      <c r="X351" s="1">
        <v>1645000</v>
      </c>
      <c r="Y351" s="1">
        <v>1645000</v>
      </c>
      <c r="Z351" s="5">
        <v>42470</v>
      </c>
      <c r="AA351" s="1">
        <v>1588470</v>
      </c>
      <c r="AB351" s="1" t="s">
        <v>265</v>
      </c>
      <c r="AC351" s="5">
        <v>43151</v>
      </c>
      <c r="AF351" s="1">
        <v>10009</v>
      </c>
      <c r="AI351" s="1" t="s">
        <v>71</v>
      </c>
      <c r="AJ351" s="1">
        <v>2017</v>
      </c>
      <c r="AK351" s="1" t="s">
        <v>49</v>
      </c>
      <c r="AL351" s="1">
        <v>82</v>
      </c>
    </row>
    <row r="352" spans="1:38" x14ac:dyDescent="0.2">
      <c r="A352" s="2" t="str">
        <f>HYPERLINK("https://www.compass.com/listing/438-east-12th-street-unit-gardenb-manhattan-ny-10009/5781025133217633/","438 E 12th St, Unit GARDENB")</f>
        <v>438 E 12th St, Unit GARDENB</v>
      </c>
      <c r="B352" s="2" t="str">
        <f t="shared" si="52"/>
        <v>Steiner East Village</v>
      </c>
      <c r="C352" s="1" t="s">
        <v>52</v>
      </c>
      <c r="D352" s="1" t="s">
        <v>41</v>
      </c>
      <c r="E352" s="3">
        <v>1999500</v>
      </c>
      <c r="F352" s="1">
        <v>1673.2217573221701</v>
      </c>
      <c r="G352" s="1">
        <v>5</v>
      </c>
      <c r="H352" s="1">
        <v>2</v>
      </c>
      <c r="I352" s="1">
        <v>2</v>
      </c>
      <c r="J352" s="1">
        <v>2</v>
      </c>
      <c r="K352" s="1">
        <v>2</v>
      </c>
      <c r="M352" s="4">
        <v>1195</v>
      </c>
      <c r="N352" s="1">
        <v>1359</v>
      </c>
      <c r="O352" s="1">
        <v>3201</v>
      </c>
      <c r="P352" s="1">
        <v>1842</v>
      </c>
      <c r="Q352" s="1" t="s">
        <v>42</v>
      </c>
      <c r="S352" s="1" t="s">
        <v>42</v>
      </c>
      <c r="T352" s="1" t="s">
        <v>153</v>
      </c>
      <c r="V352" s="5">
        <v>44391</v>
      </c>
      <c r="W352" s="5">
        <v>42470</v>
      </c>
      <c r="X352" s="1">
        <v>2175000</v>
      </c>
      <c r="Y352" s="1">
        <v>2175000</v>
      </c>
      <c r="Z352" s="5">
        <v>42683</v>
      </c>
      <c r="AA352" s="1">
        <v>1999500</v>
      </c>
      <c r="AB352" s="1" t="s">
        <v>177</v>
      </c>
      <c r="AC352" s="5">
        <v>43258</v>
      </c>
      <c r="AF352" s="1">
        <v>10009</v>
      </c>
      <c r="AI352" s="1" t="s">
        <v>71</v>
      </c>
      <c r="AJ352" s="1">
        <v>2017</v>
      </c>
      <c r="AK352" s="1" t="s">
        <v>49</v>
      </c>
      <c r="AL352" s="1">
        <v>82</v>
      </c>
    </row>
    <row r="353" spans="1:38" x14ac:dyDescent="0.2">
      <c r="A353" s="2" t="str">
        <f>HYPERLINK("https://www.compass.com/listing/215-sullivan-street-unit-tha-manhattan-ny-10012/207946077528253425/","215 Sullivan St, Unit THA")</f>
        <v>215 Sullivan St, Unit THA</v>
      </c>
      <c r="B353" s="2" t="str">
        <f>HYPERLINK("https://www.compass.com/building/215-sullivan-st-manhattan-ny-10012/292810405493901557/","215 Sullivan St")</f>
        <v>215 Sullivan St</v>
      </c>
      <c r="C353" s="1" t="s">
        <v>159</v>
      </c>
      <c r="D353" s="1" t="s">
        <v>41</v>
      </c>
      <c r="E353" s="3">
        <v>14650000</v>
      </c>
      <c r="F353" s="1">
        <v>1970.1452393760001</v>
      </c>
      <c r="G353" s="1">
        <v>9</v>
      </c>
      <c r="H353" s="1">
        <v>6</v>
      </c>
      <c r="I353" s="1">
        <v>6</v>
      </c>
      <c r="J353" s="1">
        <v>6</v>
      </c>
      <c r="K353" s="1">
        <v>5</v>
      </c>
      <c r="L353" s="1">
        <v>2</v>
      </c>
      <c r="M353" s="4">
        <v>7436</v>
      </c>
      <c r="N353" s="1">
        <v>10826</v>
      </c>
      <c r="O353" s="1">
        <v>21432</v>
      </c>
      <c r="P353" s="1">
        <v>10606</v>
      </c>
      <c r="Q353" s="1" t="s">
        <v>42</v>
      </c>
      <c r="S353" s="1" t="s">
        <v>42</v>
      </c>
      <c r="T353" s="1" t="s">
        <v>153</v>
      </c>
      <c r="U353" s="1">
        <v>54</v>
      </c>
      <c r="V353" s="5">
        <v>44336</v>
      </c>
      <c r="W353" s="5">
        <v>43539</v>
      </c>
      <c r="X353" s="1">
        <v>15995000</v>
      </c>
      <c r="Y353" s="1">
        <v>15995000</v>
      </c>
      <c r="Z353" s="5">
        <v>43593</v>
      </c>
      <c r="AA353" s="1">
        <v>14650000</v>
      </c>
      <c r="AB353" s="1" t="s">
        <v>160</v>
      </c>
      <c r="AC353" s="5">
        <v>43620</v>
      </c>
      <c r="AF353" s="1">
        <v>10012</v>
      </c>
      <c r="AI353" s="1" t="s">
        <v>80</v>
      </c>
      <c r="AJ353" s="1">
        <v>2014</v>
      </c>
      <c r="AK353" s="1" t="s">
        <v>86</v>
      </c>
      <c r="AL353" s="1">
        <v>25</v>
      </c>
    </row>
    <row r="354" spans="1:38" x14ac:dyDescent="0.2">
      <c r="A354" s="2" t="str">
        <f>HYPERLINK("https://www.compass.com/listing/2-park-place-unit-37a-manhattan-ny-10007/207137204072351697/","2 Park Pl, Unit 37A")</f>
        <v>2 Park Pl, Unit 37A</v>
      </c>
      <c r="B354" s="2" t="str">
        <f t="shared" ref="B354:B355" si="53">HYPERLINK("https://www.compass.com/building/the-woolworth-tower-residences-manhattan-ny/294842395015266853/","The Woolworth Tower Residences")</f>
        <v>The Woolworth Tower Residences</v>
      </c>
      <c r="C354" s="1" t="s">
        <v>65</v>
      </c>
      <c r="D354" s="1" t="s">
        <v>41</v>
      </c>
      <c r="E354" s="3">
        <v>16200000</v>
      </c>
      <c r="F354" s="1">
        <v>2657.91632485643</v>
      </c>
      <c r="G354" s="1">
        <v>5</v>
      </c>
      <c r="H354" s="1">
        <v>5</v>
      </c>
      <c r="I354" s="1">
        <v>6</v>
      </c>
      <c r="J354" s="1">
        <v>6</v>
      </c>
      <c r="K354" s="1">
        <v>5</v>
      </c>
      <c r="L354" s="1">
        <v>2</v>
      </c>
      <c r="M354" s="4">
        <v>6095</v>
      </c>
      <c r="N354" s="1">
        <v>9146</v>
      </c>
      <c r="O354" s="1">
        <v>17700</v>
      </c>
      <c r="P354" s="1">
        <v>8554</v>
      </c>
      <c r="Q354" s="1" t="s">
        <v>42</v>
      </c>
      <c r="S354" s="1" t="s">
        <v>42</v>
      </c>
      <c r="T354" s="1" t="s">
        <v>153</v>
      </c>
      <c r="U354" s="1">
        <v>105</v>
      </c>
      <c r="V354" s="5">
        <v>44342</v>
      </c>
      <c r="W354" s="5">
        <v>43538</v>
      </c>
      <c r="X354" s="1">
        <v>18825000</v>
      </c>
      <c r="Y354" s="1">
        <v>18825000</v>
      </c>
      <c r="AA354" s="1">
        <v>16200000</v>
      </c>
      <c r="AB354" s="1" t="s">
        <v>266</v>
      </c>
      <c r="AC354" s="5">
        <v>43643</v>
      </c>
      <c r="AF354" s="1">
        <v>10007</v>
      </c>
      <c r="AJ354" s="1">
        <v>1913</v>
      </c>
      <c r="AK354" s="1" t="s">
        <v>46</v>
      </c>
      <c r="AL354" s="1">
        <v>32</v>
      </c>
    </row>
    <row r="355" spans="1:38" x14ac:dyDescent="0.2">
      <c r="A355" s="2" t="str">
        <f>HYPERLINK("https://www.compass.com/listing/2-park-place-unit-46b-manhattan-ny-10007/466759515896207865/","2 Park Pl, Unit 46B")</f>
        <v>2 Park Pl, Unit 46B</v>
      </c>
      <c r="B355" s="2" t="str">
        <f t="shared" si="53"/>
        <v>The Woolworth Tower Residences</v>
      </c>
      <c r="C355" s="1" t="s">
        <v>65</v>
      </c>
      <c r="D355" s="1" t="s">
        <v>41</v>
      </c>
      <c r="E355" s="3">
        <v>2500000</v>
      </c>
      <c r="F355" s="1">
        <v>1931.99381761978</v>
      </c>
      <c r="G355" s="1">
        <v>3</v>
      </c>
      <c r="H355" s="1">
        <v>1</v>
      </c>
      <c r="I355" s="1">
        <v>2</v>
      </c>
      <c r="J355" s="1">
        <v>1.5</v>
      </c>
      <c r="K355" s="1">
        <v>1</v>
      </c>
      <c r="L355" s="1">
        <v>1</v>
      </c>
      <c r="M355" s="4">
        <v>1294</v>
      </c>
      <c r="N355" s="1">
        <v>2187</v>
      </c>
      <c r="O355" s="1">
        <v>4010</v>
      </c>
      <c r="P355" s="1">
        <v>1823</v>
      </c>
      <c r="Q355" s="1" t="s">
        <v>42</v>
      </c>
      <c r="S355" s="1" t="s">
        <v>42</v>
      </c>
      <c r="T355" s="1" t="s">
        <v>153</v>
      </c>
      <c r="U355" s="1">
        <v>401</v>
      </c>
      <c r="V355" s="5">
        <v>44342</v>
      </c>
      <c r="W355" s="5">
        <v>43594</v>
      </c>
      <c r="X355" s="1">
        <v>3535000</v>
      </c>
      <c r="Y355" s="1">
        <v>2850000</v>
      </c>
      <c r="Z355" s="5">
        <v>44090</v>
      </c>
      <c r="AA355" s="1">
        <v>2500000</v>
      </c>
      <c r="AB355" s="1" t="s">
        <v>267</v>
      </c>
      <c r="AC355" s="5">
        <v>44145</v>
      </c>
      <c r="AF355" s="1">
        <v>10007</v>
      </c>
      <c r="AJ355" s="1">
        <v>1913</v>
      </c>
      <c r="AK355" s="1" t="s">
        <v>46</v>
      </c>
      <c r="AL355" s="1">
        <v>32</v>
      </c>
    </row>
    <row r="356" spans="1:38" x14ac:dyDescent="0.2">
      <c r="A356" s="2" t="str">
        <f>HYPERLINK("https://www.compass.com/listing/438-east-12th-street-unit-3a-manhattan-ny-10009/29361648108172721/","438 E 12th St, Unit 3A")</f>
        <v>438 E 12th St, Unit 3A</v>
      </c>
      <c r="B356" s="2" t="str">
        <f t="shared" ref="B356:B377" si="54">HYPERLINK("https://www.compass.com/building/steiner-east-village-manhattan-ny/281900317572873557/","Steiner East Village")</f>
        <v>Steiner East Village</v>
      </c>
      <c r="C356" s="1" t="s">
        <v>52</v>
      </c>
      <c r="D356" s="1" t="s">
        <v>41</v>
      </c>
      <c r="E356" s="3">
        <v>1349181</v>
      </c>
      <c r="F356" s="1">
        <v>1813.4153225806399</v>
      </c>
      <c r="G356" s="1">
        <v>3</v>
      </c>
      <c r="H356" s="1">
        <v>1</v>
      </c>
      <c r="I356" s="1">
        <v>1</v>
      </c>
      <c r="J356" s="1">
        <v>1</v>
      </c>
      <c r="K356" s="1">
        <v>1</v>
      </c>
      <c r="M356" s="1">
        <v>744</v>
      </c>
      <c r="N356" s="1">
        <v>782</v>
      </c>
      <c r="O356" s="1">
        <v>1842</v>
      </c>
      <c r="P356" s="1">
        <v>1060</v>
      </c>
      <c r="Q356" s="1" t="s">
        <v>42</v>
      </c>
      <c r="S356" s="1" t="s">
        <v>42</v>
      </c>
      <c r="T356" s="1" t="s">
        <v>153</v>
      </c>
      <c r="U356" s="1">
        <v>1</v>
      </c>
      <c r="V356" s="5">
        <v>43648</v>
      </c>
      <c r="W356" s="5">
        <v>42469</v>
      </c>
      <c r="X356" s="1">
        <v>1475000</v>
      </c>
      <c r="Y356" s="1">
        <v>1475000</v>
      </c>
      <c r="Z356" s="5">
        <v>42470</v>
      </c>
      <c r="AA356" s="1">
        <v>1349181</v>
      </c>
      <c r="AB356" s="1" t="s">
        <v>261</v>
      </c>
      <c r="AC356" s="5">
        <v>43174</v>
      </c>
      <c r="AF356" s="1">
        <v>10009</v>
      </c>
      <c r="AI356" s="1" t="s">
        <v>71</v>
      </c>
      <c r="AJ356" s="1">
        <v>2017</v>
      </c>
      <c r="AK356" s="1" t="s">
        <v>49</v>
      </c>
      <c r="AL356" s="1">
        <v>82</v>
      </c>
    </row>
    <row r="357" spans="1:38" x14ac:dyDescent="0.2">
      <c r="A357" s="2" t="str">
        <f>HYPERLINK("https://www.compass.com/listing/438-east-12th-street-unit-4l-manhattan-ny-10009/29361657562096241/","438 E 12th St, Unit 4L")</f>
        <v>438 E 12th St, Unit 4L</v>
      </c>
      <c r="B357" s="2" t="str">
        <f t="shared" si="54"/>
        <v>Steiner East Village</v>
      </c>
      <c r="C357" s="1" t="s">
        <v>52</v>
      </c>
      <c r="D357" s="1" t="s">
        <v>41</v>
      </c>
      <c r="E357" s="3">
        <v>1170988</v>
      </c>
      <c r="F357" s="1">
        <v>1925.96710526315</v>
      </c>
      <c r="G357" s="1">
        <v>3</v>
      </c>
      <c r="H357" s="1">
        <v>1</v>
      </c>
      <c r="I357" s="1">
        <v>1</v>
      </c>
      <c r="J357" s="1">
        <v>1</v>
      </c>
      <c r="K357" s="1">
        <v>1</v>
      </c>
      <c r="M357" s="1">
        <v>608</v>
      </c>
      <c r="N357" s="1">
        <v>639</v>
      </c>
      <c r="O357" s="1">
        <v>1505</v>
      </c>
      <c r="P357" s="1">
        <v>866</v>
      </c>
      <c r="Q357" s="1" t="s">
        <v>42</v>
      </c>
      <c r="S357" s="1" t="s">
        <v>42</v>
      </c>
      <c r="T357" s="1" t="s">
        <v>153</v>
      </c>
      <c r="U357" s="1">
        <v>1</v>
      </c>
      <c r="V357" s="5">
        <v>43650</v>
      </c>
      <c r="W357" s="5">
        <v>42469</v>
      </c>
      <c r="X357" s="1">
        <v>1325000</v>
      </c>
      <c r="Y357" s="1">
        <v>1325000</v>
      </c>
      <c r="Z357" s="5">
        <v>42470</v>
      </c>
      <c r="AA357" s="1">
        <v>1170988</v>
      </c>
      <c r="AB357" s="1" t="s">
        <v>268</v>
      </c>
      <c r="AC357" s="5">
        <v>43168</v>
      </c>
      <c r="AF357" s="1">
        <v>10009</v>
      </c>
      <c r="AI357" s="1" t="s">
        <v>71</v>
      </c>
      <c r="AJ357" s="1">
        <v>2017</v>
      </c>
      <c r="AK357" s="1" t="s">
        <v>49</v>
      </c>
      <c r="AL357" s="1">
        <v>82</v>
      </c>
    </row>
    <row r="358" spans="1:38" x14ac:dyDescent="0.2">
      <c r="A358" s="2" t="str">
        <f>HYPERLINK("https://www.compass.com/listing/438-east-12th-street-unit-2q-manhattan-ny-10009/29514451275298257/","438 E 12th St, Unit 2Q")</f>
        <v>438 E 12th St, Unit 2Q</v>
      </c>
      <c r="B358" s="2" t="str">
        <f t="shared" si="54"/>
        <v>Steiner East Village</v>
      </c>
      <c r="C358" s="1" t="s">
        <v>52</v>
      </c>
      <c r="D358" s="1" t="s">
        <v>41</v>
      </c>
      <c r="E358" s="3">
        <v>1374638</v>
      </c>
      <c r="F358" s="1">
        <v>1527.3755555555499</v>
      </c>
      <c r="G358" s="1">
        <v>3</v>
      </c>
      <c r="H358" s="1">
        <v>1</v>
      </c>
      <c r="I358" s="1">
        <v>1</v>
      </c>
      <c r="J358" s="1">
        <v>1</v>
      </c>
      <c r="K358" s="1">
        <v>1</v>
      </c>
      <c r="M358" s="1">
        <v>900</v>
      </c>
      <c r="N358" s="1">
        <v>917</v>
      </c>
      <c r="O358" s="1">
        <v>2160</v>
      </c>
      <c r="P358" s="1">
        <v>1243</v>
      </c>
      <c r="Q358" s="1" t="s">
        <v>42</v>
      </c>
      <c r="S358" s="1" t="s">
        <v>42</v>
      </c>
      <c r="T358" s="1" t="s">
        <v>153</v>
      </c>
      <c r="U358" s="1">
        <v>1</v>
      </c>
      <c r="V358" s="5">
        <v>44225</v>
      </c>
      <c r="W358" s="5">
        <v>42469</v>
      </c>
      <c r="X358" s="1">
        <v>1575000</v>
      </c>
      <c r="Y358" s="1">
        <v>1575000</v>
      </c>
      <c r="Z358" s="5">
        <v>42470</v>
      </c>
      <c r="AA358" s="1">
        <v>1374638</v>
      </c>
      <c r="AB358" s="1" t="s">
        <v>269</v>
      </c>
      <c r="AC358" s="5">
        <v>43207</v>
      </c>
      <c r="AF358" s="1">
        <v>10009</v>
      </c>
      <c r="AI358" s="1" t="s">
        <v>71</v>
      </c>
      <c r="AJ358" s="1">
        <v>2017</v>
      </c>
      <c r="AK358" s="1" t="s">
        <v>49</v>
      </c>
      <c r="AL358" s="1">
        <v>82</v>
      </c>
    </row>
    <row r="359" spans="1:38" x14ac:dyDescent="0.2">
      <c r="A359" s="2" t="str">
        <f>HYPERLINK("https://www.compass.com/listing/438-east-12th-street-unit-4p-manhattan-ny-10009/801632409208519841/","438 E 12th St, Unit 4P")</f>
        <v>438 E 12th St, Unit 4P</v>
      </c>
      <c r="B359" s="2" t="str">
        <f t="shared" si="54"/>
        <v>Steiner East Village</v>
      </c>
      <c r="C359" s="1" t="s">
        <v>52</v>
      </c>
      <c r="D359" s="1" t="s">
        <v>41</v>
      </c>
      <c r="E359" s="3">
        <v>1298269</v>
      </c>
      <c r="F359" s="1">
        <v>1961.1310422960701</v>
      </c>
      <c r="G359" s="1">
        <v>3</v>
      </c>
      <c r="H359" s="1">
        <v>1</v>
      </c>
      <c r="I359" s="1">
        <v>1</v>
      </c>
      <c r="J359" s="1">
        <v>1</v>
      </c>
      <c r="M359" s="1">
        <v>662</v>
      </c>
      <c r="N359" s="1">
        <v>696</v>
      </c>
      <c r="O359" s="1">
        <v>1639</v>
      </c>
      <c r="P359" s="1">
        <v>943</v>
      </c>
      <c r="Q359" s="1" t="s">
        <v>42</v>
      </c>
      <c r="S359" s="1" t="s">
        <v>42</v>
      </c>
      <c r="T359" s="1" t="s">
        <v>153</v>
      </c>
      <c r="U359" s="1">
        <v>9</v>
      </c>
      <c r="V359" s="5">
        <v>43148</v>
      </c>
      <c r="W359" s="5">
        <v>42460</v>
      </c>
      <c r="X359" s="1">
        <v>1350000</v>
      </c>
      <c r="Y359" s="1">
        <v>1350000</v>
      </c>
      <c r="Z359" s="5">
        <v>42469</v>
      </c>
      <c r="AA359" s="1">
        <v>1298268.75</v>
      </c>
      <c r="AB359" s="1" t="s">
        <v>262</v>
      </c>
      <c r="AC359" s="5">
        <v>43126</v>
      </c>
      <c r="AF359" s="1">
        <v>10009</v>
      </c>
      <c r="AI359" s="1" t="s">
        <v>71</v>
      </c>
      <c r="AJ359" s="1">
        <v>2017</v>
      </c>
      <c r="AK359" s="1" t="s">
        <v>49</v>
      </c>
      <c r="AL359" s="1">
        <v>82</v>
      </c>
    </row>
    <row r="360" spans="1:38" x14ac:dyDescent="0.2">
      <c r="A360" s="2" t="str">
        <f>HYPERLINK("https://www.compass.com/listing/438-east-12th-street-unit-2r-manhattan-ny-10009/29361646539503009/","438 E 12th St, Unit 2R")</f>
        <v>438 E 12th St, Unit 2R</v>
      </c>
      <c r="B360" s="2" t="str">
        <f t="shared" si="54"/>
        <v>Steiner East Village</v>
      </c>
      <c r="C360" s="1" t="s">
        <v>52</v>
      </c>
      <c r="D360" s="1" t="s">
        <v>41</v>
      </c>
      <c r="E360" s="3">
        <v>1756481</v>
      </c>
      <c r="F360" s="1">
        <v>1801.5189743589699</v>
      </c>
      <c r="G360" s="1">
        <v>4</v>
      </c>
      <c r="H360" s="1">
        <v>1</v>
      </c>
      <c r="I360" s="1">
        <v>2</v>
      </c>
      <c r="J360" s="1">
        <v>1.5</v>
      </c>
      <c r="K360" s="1">
        <v>1</v>
      </c>
      <c r="L360" s="1">
        <v>1</v>
      </c>
      <c r="M360" s="1">
        <v>975</v>
      </c>
      <c r="N360" s="1">
        <v>1019</v>
      </c>
      <c r="O360" s="1">
        <v>2400</v>
      </c>
      <c r="P360" s="1">
        <v>1381</v>
      </c>
      <c r="Q360" s="1" t="s">
        <v>42</v>
      </c>
      <c r="S360" s="1" t="s">
        <v>42</v>
      </c>
      <c r="T360" s="1" t="s">
        <v>153</v>
      </c>
      <c r="U360" s="1">
        <v>710</v>
      </c>
      <c r="V360" s="5">
        <v>44421</v>
      </c>
      <c r="W360" s="5">
        <v>42460</v>
      </c>
      <c r="Y360" s="1">
        <v>1725000</v>
      </c>
      <c r="Z360" s="5">
        <v>43171</v>
      </c>
      <c r="AA360" s="1">
        <v>1756481</v>
      </c>
      <c r="AB360" s="1" t="s">
        <v>270</v>
      </c>
      <c r="AC360" s="5">
        <v>43203</v>
      </c>
      <c r="AF360" s="1">
        <v>10009</v>
      </c>
      <c r="AI360" s="1" t="s">
        <v>71</v>
      </c>
      <c r="AJ360" s="1">
        <v>2017</v>
      </c>
      <c r="AK360" s="1" t="s">
        <v>49</v>
      </c>
      <c r="AL360" s="1">
        <v>82</v>
      </c>
    </row>
    <row r="361" spans="1:38" x14ac:dyDescent="0.2">
      <c r="A361" s="2" t="str">
        <f>HYPERLINK("https://www.compass.com/listing/438-east-12th-street-unit-4s-manhattan-ny-10009/29361661135643313/","438 E 12th St, Unit 4S")</f>
        <v>438 E 12th St, Unit 4S</v>
      </c>
      <c r="B361" s="2" t="str">
        <f t="shared" si="54"/>
        <v>Steiner East Village</v>
      </c>
      <c r="C361" s="1" t="s">
        <v>52</v>
      </c>
      <c r="D361" s="1" t="s">
        <v>41</v>
      </c>
      <c r="E361" s="3">
        <v>1776846</v>
      </c>
      <c r="F361" s="1">
        <v>1902.40471092077</v>
      </c>
      <c r="G361" s="1">
        <v>3</v>
      </c>
      <c r="H361" s="1">
        <v>1</v>
      </c>
      <c r="I361" s="1">
        <v>2</v>
      </c>
      <c r="J361" s="1">
        <v>2</v>
      </c>
      <c r="K361" s="1">
        <v>2</v>
      </c>
      <c r="M361" s="1">
        <v>934</v>
      </c>
      <c r="N361" s="1">
        <v>976</v>
      </c>
      <c r="O361" s="1">
        <v>2299</v>
      </c>
      <c r="P361" s="1">
        <v>1323</v>
      </c>
      <c r="Q361" s="1" t="s">
        <v>42</v>
      </c>
      <c r="S361" s="1" t="s">
        <v>42</v>
      </c>
      <c r="T361" s="1" t="s">
        <v>153</v>
      </c>
      <c r="U361" s="1">
        <v>36</v>
      </c>
      <c r="V361" s="5">
        <v>44225</v>
      </c>
      <c r="W361" s="5">
        <v>42780</v>
      </c>
      <c r="X361" s="1">
        <v>1745000</v>
      </c>
      <c r="Y361" s="1">
        <v>1745000</v>
      </c>
      <c r="Z361" s="5">
        <v>42816</v>
      </c>
      <c r="AA361" s="1">
        <v>1776846</v>
      </c>
      <c r="AB361" s="1" t="s">
        <v>271</v>
      </c>
      <c r="AC361" s="5">
        <v>43134</v>
      </c>
      <c r="AF361" s="1">
        <v>10009</v>
      </c>
      <c r="AI361" s="1" t="s">
        <v>71</v>
      </c>
      <c r="AJ361" s="1">
        <v>2017</v>
      </c>
      <c r="AK361" s="1" t="s">
        <v>49</v>
      </c>
      <c r="AL361" s="1">
        <v>82</v>
      </c>
    </row>
    <row r="362" spans="1:38" x14ac:dyDescent="0.2">
      <c r="A362" s="2" t="str">
        <f>HYPERLINK("https://www.compass.com/listing/438-east-12th-street-unit-2s-manhattan-ny-10009/29361647101501873/","438 E 12th St, Unit 2S")</f>
        <v>438 E 12th St, Unit 2S</v>
      </c>
      <c r="B362" s="2" t="str">
        <f t="shared" si="54"/>
        <v>Steiner East Village</v>
      </c>
      <c r="C362" s="1" t="s">
        <v>52</v>
      </c>
      <c r="D362" s="1" t="s">
        <v>41</v>
      </c>
      <c r="E362" s="3">
        <v>2011044</v>
      </c>
      <c r="F362" s="1">
        <v>1727.7010309278301</v>
      </c>
      <c r="G362" s="1">
        <v>4</v>
      </c>
      <c r="H362" s="1">
        <v>2</v>
      </c>
      <c r="I362" s="1">
        <v>2</v>
      </c>
      <c r="J362" s="1">
        <v>2</v>
      </c>
      <c r="K362" s="1">
        <v>2</v>
      </c>
      <c r="M362" s="4">
        <v>1164</v>
      </c>
      <c r="N362" s="1">
        <v>1223</v>
      </c>
      <c r="O362" s="1">
        <v>2881</v>
      </c>
      <c r="P362" s="1">
        <v>1658</v>
      </c>
      <c r="Q362" s="1" t="s">
        <v>42</v>
      </c>
      <c r="S362" s="1" t="s">
        <v>42</v>
      </c>
      <c r="T362" s="1" t="s">
        <v>153</v>
      </c>
      <c r="U362" s="1">
        <v>53</v>
      </c>
      <c r="V362" s="5">
        <v>43648</v>
      </c>
      <c r="W362" s="5">
        <v>42538</v>
      </c>
      <c r="X362" s="1">
        <v>1975000</v>
      </c>
      <c r="Y362" s="1">
        <v>1975000</v>
      </c>
      <c r="Z362" s="5">
        <v>42591</v>
      </c>
      <c r="AA362" s="1">
        <v>2011044</v>
      </c>
      <c r="AB362" s="1" t="s">
        <v>272</v>
      </c>
      <c r="AC362" s="5">
        <v>43172</v>
      </c>
      <c r="AF362" s="1">
        <v>10009</v>
      </c>
      <c r="AI362" s="1" t="s">
        <v>71</v>
      </c>
      <c r="AJ362" s="1">
        <v>2017</v>
      </c>
      <c r="AK362" s="1" t="s">
        <v>49</v>
      </c>
      <c r="AL362" s="1">
        <v>82</v>
      </c>
    </row>
    <row r="363" spans="1:38" x14ac:dyDescent="0.2">
      <c r="A363" s="2" t="str">
        <f>HYPERLINK("https://www.compass.com/listing/438-east-12th-street-unit-2u-manhattan-ny-10009/29361647688613905/","438 E 12th St, Unit 2U")</f>
        <v>438 E 12th St, Unit 2U</v>
      </c>
      <c r="B363" s="2" t="str">
        <f t="shared" si="54"/>
        <v>Steiner East Village</v>
      </c>
      <c r="C363" s="1" t="s">
        <v>52</v>
      </c>
      <c r="D363" s="1" t="s">
        <v>41</v>
      </c>
      <c r="E363" s="3">
        <v>2011044</v>
      </c>
      <c r="F363" s="1">
        <v>1736.6528497409299</v>
      </c>
      <c r="G363" s="1">
        <v>4</v>
      </c>
      <c r="H363" s="1">
        <v>2</v>
      </c>
      <c r="I363" s="1">
        <v>2</v>
      </c>
      <c r="J363" s="1">
        <v>2</v>
      </c>
      <c r="K363" s="1">
        <v>2</v>
      </c>
      <c r="M363" s="4">
        <v>1158</v>
      </c>
      <c r="N363" s="1">
        <v>1210</v>
      </c>
      <c r="O363" s="1">
        <v>2850</v>
      </c>
      <c r="P363" s="1">
        <v>1640</v>
      </c>
      <c r="Q363" s="1" t="s">
        <v>42</v>
      </c>
      <c r="S363" s="1" t="s">
        <v>42</v>
      </c>
      <c r="T363" s="1" t="s">
        <v>153</v>
      </c>
      <c r="U363" s="1">
        <v>72</v>
      </c>
      <c r="V363" s="5">
        <v>43641</v>
      </c>
      <c r="W363" s="5">
        <v>42606</v>
      </c>
      <c r="X363" s="1">
        <v>1975000</v>
      </c>
      <c r="Y363" s="1">
        <v>1975000</v>
      </c>
      <c r="Z363" s="5">
        <v>42678</v>
      </c>
      <c r="AA363" s="1">
        <v>2011044</v>
      </c>
      <c r="AB363" s="1" t="s">
        <v>273</v>
      </c>
      <c r="AC363" s="5">
        <v>43173</v>
      </c>
      <c r="AF363" s="1">
        <v>10009</v>
      </c>
      <c r="AI363" s="1" t="s">
        <v>71</v>
      </c>
      <c r="AJ363" s="1">
        <v>2017</v>
      </c>
      <c r="AK363" s="1" t="s">
        <v>49</v>
      </c>
      <c r="AL363" s="1">
        <v>82</v>
      </c>
    </row>
    <row r="364" spans="1:38" x14ac:dyDescent="0.2">
      <c r="A364" s="2" t="str">
        <f>HYPERLINK("https://www.compass.com/listing/438-east-12th-street-unit-3k-manhattan-ny-10009/29361650230362161/","438 E 12th St, Unit 3K")</f>
        <v>438 E 12th St, Unit 3K</v>
      </c>
      <c r="B364" s="2" t="str">
        <f t="shared" si="54"/>
        <v>Steiner East Village</v>
      </c>
      <c r="C364" s="1" t="s">
        <v>52</v>
      </c>
      <c r="D364" s="1" t="s">
        <v>41</v>
      </c>
      <c r="E364" s="3">
        <v>2540534</v>
      </c>
      <c r="F364" s="1">
        <v>2284.6528776978398</v>
      </c>
      <c r="G364" s="1">
        <v>4</v>
      </c>
      <c r="H364" s="1">
        <v>2</v>
      </c>
      <c r="I364" s="1">
        <v>2</v>
      </c>
      <c r="J364" s="1">
        <v>2</v>
      </c>
      <c r="K364" s="1">
        <v>2</v>
      </c>
      <c r="M364" s="4">
        <v>1112</v>
      </c>
      <c r="N364" s="1">
        <v>1347</v>
      </c>
      <c r="O364" s="1">
        <v>3173</v>
      </c>
      <c r="P364" s="1">
        <v>1826</v>
      </c>
      <c r="Q364" s="1" t="s">
        <v>42</v>
      </c>
      <c r="S364" s="1" t="s">
        <v>42</v>
      </c>
      <c r="T364" s="1" t="s">
        <v>153</v>
      </c>
      <c r="U364" s="1">
        <v>55</v>
      </c>
      <c r="V364" s="5">
        <v>43649</v>
      </c>
      <c r="W364" s="5">
        <v>42588</v>
      </c>
      <c r="X364" s="1">
        <v>2495000</v>
      </c>
      <c r="Y364" s="1">
        <v>2495000</v>
      </c>
      <c r="Z364" s="5">
        <v>42643</v>
      </c>
      <c r="AA364" s="1">
        <v>2540534</v>
      </c>
      <c r="AB364" s="1" t="s">
        <v>274</v>
      </c>
      <c r="AC364" s="5">
        <v>43159</v>
      </c>
      <c r="AF364" s="1">
        <v>10009</v>
      </c>
      <c r="AI364" s="1" t="s">
        <v>88</v>
      </c>
      <c r="AJ364" s="1">
        <v>2017</v>
      </c>
      <c r="AK364" s="1" t="s">
        <v>49</v>
      </c>
      <c r="AL364" s="1">
        <v>82</v>
      </c>
    </row>
    <row r="365" spans="1:38" x14ac:dyDescent="0.2">
      <c r="A365" s="2" t="str">
        <f>HYPERLINK("https://www.compass.com/listing/438-east-12th-street-unit-4k-manhattan-ny-10009/29361657184646913/","438 E 12th St, Unit 4K")</f>
        <v>438 E 12th St, Unit 4K</v>
      </c>
      <c r="B365" s="2" t="str">
        <f t="shared" si="54"/>
        <v>Steiner East Village</v>
      </c>
      <c r="C365" s="1" t="s">
        <v>52</v>
      </c>
      <c r="D365" s="1" t="s">
        <v>41</v>
      </c>
      <c r="E365" s="3">
        <v>2295000</v>
      </c>
      <c r="F365" s="1">
        <v>2063.8489208633</v>
      </c>
      <c r="G365" s="1">
        <v>4</v>
      </c>
      <c r="H365" s="1">
        <v>2</v>
      </c>
      <c r="I365" s="1">
        <v>2</v>
      </c>
      <c r="J365" s="1">
        <v>2</v>
      </c>
      <c r="M365" s="4">
        <v>1112</v>
      </c>
      <c r="N365" s="1">
        <v>1162</v>
      </c>
      <c r="O365" s="1">
        <v>2737</v>
      </c>
      <c r="P365" s="1">
        <v>1575</v>
      </c>
      <c r="Q365" s="1" t="s">
        <v>42</v>
      </c>
      <c r="S365" s="1" t="s">
        <v>42</v>
      </c>
      <c r="T365" s="1" t="s">
        <v>153</v>
      </c>
      <c r="U365" s="1">
        <v>182</v>
      </c>
      <c r="V365" s="5">
        <v>43648</v>
      </c>
      <c r="W365" s="5">
        <v>42927</v>
      </c>
      <c r="X365" s="1">
        <v>2295000</v>
      </c>
      <c r="Y365" s="1">
        <v>2295000</v>
      </c>
      <c r="Z365" s="5">
        <v>43109</v>
      </c>
      <c r="AA365" s="1">
        <v>2295000</v>
      </c>
      <c r="AB365" s="1" t="s">
        <v>275</v>
      </c>
      <c r="AC365" s="5">
        <v>43224</v>
      </c>
      <c r="AF365" s="1">
        <v>10009</v>
      </c>
      <c r="AI365" s="1" t="s">
        <v>71</v>
      </c>
      <c r="AJ365" s="1">
        <v>2017</v>
      </c>
      <c r="AK365" s="1" t="s">
        <v>49</v>
      </c>
      <c r="AL365" s="1">
        <v>82</v>
      </c>
    </row>
    <row r="366" spans="1:38" x14ac:dyDescent="0.2">
      <c r="A366" s="2" t="str">
        <f>HYPERLINK("https://www.compass.com/listing/438-east-12th-street-unit-5q-manhattan-ny-10009/29361666554593697/","438 E 12th St, Unit 5Q")</f>
        <v>438 E 12th St, Unit 5Q</v>
      </c>
      <c r="B366" s="2" t="str">
        <f t="shared" si="54"/>
        <v>Steiner East Village</v>
      </c>
      <c r="C366" s="1" t="s">
        <v>52</v>
      </c>
      <c r="D366" s="1" t="s">
        <v>41</v>
      </c>
      <c r="E366" s="3">
        <v>2520169</v>
      </c>
      <c r="F366" s="1">
        <v>2191.45130434782</v>
      </c>
      <c r="G366" s="1">
        <v>4</v>
      </c>
      <c r="H366" s="1">
        <v>2</v>
      </c>
      <c r="I366" s="1">
        <v>2</v>
      </c>
      <c r="J366" s="1">
        <v>2</v>
      </c>
      <c r="K366" s="1">
        <v>2</v>
      </c>
      <c r="M366" s="4">
        <v>1150</v>
      </c>
      <c r="N366" s="1">
        <v>1202</v>
      </c>
      <c r="O366" s="1">
        <v>2831</v>
      </c>
      <c r="P366" s="1">
        <v>1629</v>
      </c>
      <c r="Q366" s="1" t="s">
        <v>42</v>
      </c>
      <c r="S366" s="1" t="s">
        <v>42</v>
      </c>
      <c r="T366" s="1" t="s">
        <v>153</v>
      </c>
      <c r="U366" s="1">
        <v>83</v>
      </c>
      <c r="V366" s="5">
        <v>43641</v>
      </c>
      <c r="W366" s="5">
        <v>43106</v>
      </c>
      <c r="X366" s="1">
        <v>2475000</v>
      </c>
      <c r="Y366" s="1">
        <v>2475000</v>
      </c>
      <c r="Z366" s="5">
        <v>43189</v>
      </c>
      <c r="AA366" s="1">
        <v>2520169</v>
      </c>
      <c r="AB366" s="1" t="s">
        <v>276</v>
      </c>
      <c r="AC366" s="5">
        <v>43214</v>
      </c>
      <c r="AF366" s="1">
        <v>10009</v>
      </c>
      <c r="AI366" s="1" t="s">
        <v>71</v>
      </c>
      <c r="AJ366" s="1">
        <v>2017</v>
      </c>
      <c r="AK366" s="1" t="s">
        <v>49</v>
      </c>
      <c r="AL366" s="1">
        <v>82</v>
      </c>
    </row>
    <row r="367" spans="1:38" x14ac:dyDescent="0.2">
      <c r="A367" s="2" t="str">
        <f>HYPERLINK("https://www.compass.com/listing/438-east-12th-street-unit-6j-manhattan-ny-10009/29361670363112353/","438 E 12th St, Unit 6J")</f>
        <v>438 E 12th St, Unit 6J</v>
      </c>
      <c r="B367" s="2" t="str">
        <f t="shared" si="54"/>
        <v>Steiner East Village</v>
      </c>
      <c r="C367" s="1" t="s">
        <v>52</v>
      </c>
      <c r="D367" s="1" t="s">
        <v>41</v>
      </c>
      <c r="E367" s="3">
        <v>2365000</v>
      </c>
      <c r="F367" s="1">
        <v>2081.8661971830902</v>
      </c>
      <c r="G367" s="1">
        <v>4</v>
      </c>
      <c r="H367" s="1">
        <v>2</v>
      </c>
      <c r="I367" s="1">
        <v>2</v>
      </c>
      <c r="J367" s="1">
        <v>2</v>
      </c>
      <c r="K367" s="1">
        <v>2</v>
      </c>
      <c r="M367" s="4">
        <v>1136</v>
      </c>
      <c r="N367" s="1">
        <v>1194</v>
      </c>
      <c r="O367" s="1">
        <v>2813</v>
      </c>
      <c r="P367" s="1">
        <v>1619</v>
      </c>
      <c r="Q367" s="1" t="s">
        <v>42</v>
      </c>
      <c r="S367" s="1" t="s">
        <v>42</v>
      </c>
      <c r="T367" s="1" t="s">
        <v>153</v>
      </c>
      <c r="V367" s="5">
        <v>43648</v>
      </c>
      <c r="W367" s="5">
        <v>42560</v>
      </c>
      <c r="X367" s="1">
        <v>2350000</v>
      </c>
      <c r="Y367" s="1">
        <v>2350000</v>
      </c>
      <c r="Z367" s="5">
        <v>42560</v>
      </c>
      <c r="AA367" s="1">
        <v>2365000</v>
      </c>
      <c r="AB367" s="1" t="s">
        <v>277</v>
      </c>
      <c r="AC367" s="5">
        <v>43187</v>
      </c>
      <c r="AF367" s="1">
        <v>10009</v>
      </c>
      <c r="AI367" s="1" t="s">
        <v>71</v>
      </c>
      <c r="AJ367" s="1">
        <v>2017</v>
      </c>
      <c r="AK367" s="1" t="s">
        <v>49</v>
      </c>
      <c r="AL367" s="1">
        <v>82</v>
      </c>
    </row>
    <row r="368" spans="1:38" x14ac:dyDescent="0.2">
      <c r="A368" s="2" t="str">
        <f>HYPERLINK("https://www.compass.com/listing/438-east-12th-street-unit-6q-manhattan-ny-10009/29361671940080113/","438 E 12th St, Unit 6Q")</f>
        <v>438 E 12th St, Unit 6Q</v>
      </c>
      <c r="B368" s="2" t="str">
        <f t="shared" si="54"/>
        <v>Steiner East Village</v>
      </c>
      <c r="C368" s="1" t="s">
        <v>52</v>
      </c>
      <c r="D368" s="1" t="s">
        <v>41</v>
      </c>
      <c r="E368" s="3">
        <v>2650000</v>
      </c>
      <c r="F368" s="1">
        <v>2304.3478260869501</v>
      </c>
      <c r="G368" s="1">
        <v>4</v>
      </c>
      <c r="H368" s="1">
        <v>2</v>
      </c>
      <c r="I368" s="1">
        <v>2</v>
      </c>
      <c r="J368" s="1">
        <v>2</v>
      </c>
      <c r="K368" s="1">
        <v>2</v>
      </c>
      <c r="M368" s="4">
        <v>1150</v>
      </c>
      <c r="N368" s="1">
        <v>1202</v>
      </c>
      <c r="O368" s="1">
        <v>2831</v>
      </c>
      <c r="P368" s="1">
        <v>1629</v>
      </c>
      <c r="Q368" s="1" t="s">
        <v>42</v>
      </c>
      <c r="S368" s="1" t="s">
        <v>42</v>
      </c>
      <c r="T368" s="1" t="s">
        <v>153</v>
      </c>
      <c r="U368" s="1">
        <v>138</v>
      </c>
      <c r="V368" s="5">
        <v>43641</v>
      </c>
      <c r="W368" s="5">
        <v>42969</v>
      </c>
      <c r="X368" s="1">
        <v>2650000</v>
      </c>
      <c r="Y368" s="1">
        <v>2650000</v>
      </c>
      <c r="Z368" s="5">
        <v>43107</v>
      </c>
      <c r="AA368" s="1">
        <v>2650000</v>
      </c>
      <c r="AB368" s="1" t="s">
        <v>278</v>
      </c>
      <c r="AC368" s="5">
        <v>43196</v>
      </c>
      <c r="AF368" s="1">
        <v>10009</v>
      </c>
      <c r="AI368" s="1" t="s">
        <v>71</v>
      </c>
      <c r="AJ368" s="1">
        <v>2017</v>
      </c>
      <c r="AK368" s="1" t="s">
        <v>49</v>
      </c>
      <c r="AL368" s="1">
        <v>82</v>
      </c>
    </row>
    <row r="369" spans="1:38" x14ac:dyDescent="0.2">
      <c r="A369" s="2" t="str">
        <f>HYPERLINK("https://www.compass.com/listing/438-east-12th-street-unit-4j-manhattan-ny-10009/29514447382942065/","438 E 12th St, Unit 4J")</f>
        <v>438 E 12th St, Unit 4J</v>
      </c>
      <c r="B369" s="2" t="str">
        <f t="shared" si="54"/>
        <v>Steiner East Village</v>
      </c>
      <c r="C369" s="1" t="s">
        <v>52</v>
      </c>
      <c r="D369" s="1" t="s">
        <v>41</v>
      </c>
      <c r="E369" s="3">
        <v>2220075</v>
      </c>
      <c r="F369" s="1">
        <v>1932.18015665796</v>
      </c>
      <c r="G369" s="1">
        <v>4</v>
      </c>
      <c r="H369" s="1">
        <v>2</v>
      </c>
      <c r="I369" s="1">
        <v>2</v>
      </c>
      <c r="J369" s="1">
        <v>2</v>
      </c>
      <c r="K369" s="1">
        <v>2</v>
      </c>
      <c r="M369" s="4">
        <v>1149</v>
      </c>
      <c r="N369" s="1">
        <v>1201</v>
      </c>
      <c r="O369" s="1">
        <v>2830</v>
      </c>
      <c r="P369" s="1">
        <v>1629</v>
      </c>
      <c r="Q369" s="1" t="s">
        <v>42</v>
      </c>
      <c r="S369" s="1" t="s">
        <v>42</v>
      </c>
      <c r="T369" s="1" t="s">
        <v>153</v>
      </c>
      <c r="U369" s="1">
        <v>138</v>
      </c>
      <c r="V369" s="5">
        <v>43643</v>
      </c>
      <c r="W369" s="5">
        <v>43106</v>
      </c>
      <c r="X369" s="1">
        <v>2200000</v>
      </c>
      <c r="Y369" s="1">
        <v>2200000</v>
      </c>
      <c r="Z369" s="5">
        <v>43244</v>
      </c>
      <c r="AA369" s="1">
        <v>2220075</v>
      </c>
      <c r="AB369" s="1" t="s">
        <v>279</v>
      </c>
      <c r="AC369" s="5">
        <v>43290</v>
      </c>
      <c r="AF369" s="1">
        <v>10009</v>
      </c>
      <c r="AI369" s="1" t="s">
        <v>71</v>
      </c>
      <c r="AJ369" s="1">
        <v>2017</v>
      </c>
      <c r="AK369" s="1" t="s">
        <v>49</v>
      </c>
      <c r="AL369" s="1">
        <v>82</v>
      </c>
    </row>
    <row r="370" spans="1:38" x14ac:dyDescent="0.2">
      <c r="A370" s="2" t="str">
        <f>HYPERLINK("https://www.compass.com/listing/438-east-12th-street-unit-5j-manhattan-ny-10009/29514452508423713/","438 E 12th St, Unit 5J")</f>
        <v>438 E 12th St, Unit 5J</v>
      </c>
      <c r="B370" s="2" t="str">
        <f t="shared" si="54"/>
        <v>Steiner East Village</v>
      </c>
      <c r="C370" s="1" t="s">
        <v>52</v>
      </c>
      <c r="D370" s="1" t="s">
        <v>41</v>
      </c>
      <c r="E370" s="3">
        <v>2276337</v>
      </c>
      <c r="F370" s="1">
        <v>1981.1462140992101</v>
      </c>
      <c r="G370" s="1">
        <v>4.5</v>
      </c>
      <c r="H370" s="1">
        <v>2</v>
      </c>
      <c r="I370" s="1">
        <v>2</v>
      </c>
      <c r="J370" s="1">
        <v>2</v>
      </c>
      <c r="K370" s="1">
        <v>2</v>
      </c>
      <c r="M370" s="4">
        <v>1149</v>
      </c>
      <c r="N370" s="1">
        <v>1201</v>
      </c>
      <c r="O370" s="1">
        <v>2828</v>
      </c>
      <c r="P370" s="1">
        <v>1627</v>
      </c>
      <c r="Q370" s="1" t="s">
        <v>42</v>
      </c>
      <c r="S370" s="1" t="s">
        <v>42</v>
      </c>
      <c r="T370" s="1" t="s">
        <v>153</v>
      </c>
      <c r="U370" s="1">
        <v>91</v>
      </c>
      <c r="V370" s="5">
        <v>43648</v>
      </c>
      <c r="W370" s="5">
        <v>43244</v>
      </c>
      <c r="X370" s="1">
        <v>2250000</v>
      </c>
      <c r="Y370" s="1">
        <v>2250000</v>
      </c>
      <c r="Z370" s="5">
        <v>43335</v>
      </c>
      <c r="AA370" s="1">
        <v>2276337</v>
      </c>
      <c r="AB370" s="1" t="s">
        <v>280</v>
      </c>
      <c r="AC370" s="5">
        <v>43364</v>
      </c>
      <c r="AF370" s="1">
        <v>10009</v>
      </c>
      <c r="AI370" s="1" t="s">
        <v>281</v>
      </c>
      <c r="AJ370" s="1">
        <v>2017</v>
      </c>
      <c r="AK370" s="1" t="s">
        <v>49</v>
      </c>
      <c r="AL370" s="1">
        <v>82</v>
      </c>
    </row>
    <row r="371" spans="1:38" x14ac:dyDescent="0.2">
      <c r="A371" s="2" t="str">
        <f>HYPERLINK("https://www.compass.com/listing/438-east-12th-street-unit-6q-manhattan-ny-10009/803299146798531617/","438 E 12th St, Unit 6Q")</f>
        <v>438 E 12th St, Unit 6Q</v>
      </c>
      <c r="B371" s="2" t="str">
        <f t="shared" si="54"/>
        <v>Steiner East Village</v>
      </c>
      <c r="C371" s="1" t="s">
        <v>52</v>
      </c>
      <c r="D371" s="1" t="s">
        <v>41</v>
      </c>
      <c r="E371" s="3">
        <v>2650000</v>
      </c>
      <c r="F371" s="1">
        <v>2304.3478260869501</v>
      </c>
      <c r="G371" s="1">
        <v>4</v>
      </c>
      <c r="H371" s="1">
        <v>2</v>
      </c>
      <c r="I371" s="1">
        <v>2</v>
      </c>
      <c r="J371" s="1">
        <v>2</v>
      </c>
      <c r="M371" s="4">
        <v>1150</v>
      </c>
      <c r="N371" s="1">
        <v>1202</v>
      </c>
      <c r="O371" s="1">
        <v>2831</v>
      </c>
      <c r="P371" s="1">
        <v>1629</v>
      </c>
      <c r="Q371" s="1" t="s">
        <v>42</v>
      </c>
      <c r="S371" s="1" t="s">
        <v>42</v>
      </c>
      <c r="T371" s="1" t="s">
        <v>153</v>
      </c>
      <c r="U371" s="1">
        <v>645</v>
      </c>
      <c r="V371" s="5">
        <v>43106</v>
      </c>
      <c r="W371" s="5">
        <v>42460</v>
      </c>
      <c r="X371" s="1">
        <v>2650000</v>
      </c>
      <c r="Y371" s="1">
        <v>2650000</v>
      </c>
      <c r="AA371" s="1">
        <v>2650000</v>
      </c>
      <c r="AB371" s="1" t="s">
        <v>278</v>
      </c>
      <c r="AC371" s="5">
        <v>43196</v>
      </c>
      <c r="AF371" s="1">
        <v>10009</v>
      </c>
      <c r="AI371" s="1" t="s">
        <v>71</v>
      </c>
      <c r="AJ371" s="1">
        <v>2017</v>
      </c>
      <c r="AK371" s="1" t="s">
        <v>49</v>
      </c>
      <c r="AL371" s="1">
        <v>82</v>
      </c>
    </row>
    <row r="372" spans="1:38" x14ac:dyDescent="0.2">
      <c r="A372" s="2" t="str">
        <f>HYPERLINK("https://www.compass.com/listing/438-east-12th-street-unit-5a-manhattan-ny-10009/803346867626695113/","438 E 12th St, Unit 5A")</f>
        <v>438 E 12th St, Unit 5A</v>
      </c>
      <c r="B372" s="2" t="str">
        <f t="shared" si="54"/>
        <v>Steiner East Village</v>
      </c>
      <c r="C372" s="1" t="s">
        <v>52</v>
      </c>
      <c r="D372" s="1" t="s">
        <v>41</v>
      </c>
      <c r="E372" s="3">
        <v>1560000</v>
      </c>
      <c r="G372" s="1">
        <v>3</v>
      </c>
      <c r="H372" s="1">
        <v>1</v>
      </c>
      <c r="I372" s="1">
        <v>1</v>
      </c>
      <c r="J372" s="1">
        <v>1</v>
      </c>
      <c r="K372" s="1">
        <v>1</v>
      </c>
      <c r="N372" s="1">
        <v>798.99</v>
      </c>
      <c r="O372" s="1">
        <v>2337.41</v>
      </c>
      <c r="P372" s="1">
        <v>1538.4166666666599</v>
      </c>
      <c r="Q372" s="1" t="s">
        <v>42</v>
      </c>
      <c r="S372" s="1" t="s">
        <v>42</v>
      </c>
      <c r="T372" s="1" t="s">
        <v>153</v>
      </c>
      <c r="V372" s="5">
        <v>43734</v>
      </c>
      <c r="W372" s="5">
        <v>42902</v>
      </c>
      <c r="X372" s="1">
        <v>1700000</v>
      </c>
      <c r="Y372" s="1">
        <v>1700000</v>
      </c>
      <c r="AA372" s="1">
        <v>1560000</v>
      </c>
      <c r="AB372" s="1" t="s">
        <v>177</v>
      </c>
      <c r="AC372" s="5">
        <v>42902</v>
      </c>
      <c r="AF372" s="1">
        <v>10009</v>
      </c>
      <c r="AI372" s="1" t="s">
        <v>71</v>
      </c>
      <c r="AJ372" s="1">
        <v>2017</v>
      </c>
      <c r="AK372" s="1" t="s">
        <v>46</v>
      </c>
      <c r="AL372" s="1">
        <v>82</v>
      </c>
    </row>
    <row r="373" spans="1:38" x14ac:dyDescent="0.2">
      <c r="A373" s="2" t="str">
        <f>HYPERLINK("https://www.compass.com/listing/438-east-12th-street-unit-4s-manhattan-ny-10009/606389365633325041/","438 E 12th St, Unit 4S")</f>
        <v>438 E 12th St, Unit 4S</v>
      </c>
      <c r="B373" s="2" t="str">
        <f t="shared" si="54"/>
        <v>Steiner East Village</v>
      </c>
      <c r="C373" s="1" t="s">
        <v>52</v>
      </c>
      <c r="D373" s="1" t="s">
        <v>41</v>
      </c>
      <c r="E373" s="3">
        <v>1750000</v>
      </c>
      <c r="F373" s="1">
        <v>1873.66167023554</v>
      </c>
      <c r="G373" s="1">
        <v>3</v>
      </c>
      <c r="H373" s="1">
        <v>1</v>
      </c>
      <c r="I373" s="1">
        <v>2</v>
      </c>
      <c r="J373" s="1">
        <v>1.5</v>
      </c>
      <c r="K373" s="1">
        <v>1</v>
      </c>
      <c r="L373" s="1">
        <v>1</v>
      </c>
      <c r="M373" s="1">
        <v>934</v>
      </c>
      <c r="N373" s="1">
        <v>1060.0899999999999</v>
      </c>
      <c r="O373" s="1">
        <v>3007.76</v>
      </c>
      <c r="P373" s="1">
        <v>1947.6666666666599</v>
      </c>
      <c r="Q373" s="1" t="s">
        <v>42</v>
      </c>
      <c r="S373" s="1" t="s">
        <v>42</v>
      </c>
      <c r="T373" s="1" t="s">
        <v>153</v>
      </c>
      <c r="U373" s="1">
        <v>114</v>
      </c>
      <c r="V373" s="5">
        <v>44296</v>
      </c>
      <c r="W373" s="5">
        <v>44071</v>
      </c>
      <c r="X373" s="1">
        <v>1999000</v>
      </c>
      <c r="Y373" s="1">
        <v>1799000</v>
      </c>
      <c r="Z373" s="5">
        <v>44186</v>
      </c>
      <c r="AA373" s="1">
        <v>1750000</v>
      </c>
      <c r="AB373" s="1" t="s">
        <v>282</v>
      </c>
      <c r="AC373" s="5">
        <v>44295</v>
      </c>
      <c r="AF373" s="1">
        <v>10009</v>
      </c>
      <c r="AI373" s="1" t="s">
        <v>71</v>
      </c>
      <c r="AJ373" s="1">
        <v>2017</v>
      </c>
      <c r="AK373" s="1" t="s">
        <v>49</v>
      </c>
      <c r="AL373" s="1">
        <v>82</v>
      </c>
    </row>
    <row r="374" spans="1:38" x14ac:dyDescent="0.2">
      <c r="A374" s="2" t="str">
        <f>HYPERLINK("https://www.compass.com/listing/438-east-12th-street-unit-3t-manhattan-ny-10009/29361653468455457/","438 E 12th St, Unit 3T")</f>
        <v>438 E 12th St, Unit 3T</v>
      </c>
      <c r="B374" s="2" t="str">
        <f t="shared" si="54"/>
        <v>Steiner East Village</v>
      </c>
      <c r="C374" s="1" t="s">
        <v>52</v>
      </c>
      <c r="D374" s="1" t="s">
        <v>41</v>
      </c>
      <c r="E374" s="3">
        <v>1527375</v>
      </c>
      <c r="F374" s="1">
        <v>1996.5686274509801</v>
      </c>
      <c r="G374" s="1">
        <v>3</v>
      </c>
      <c r="H374" s="1">
        <v>1</v>
      </c>
      <c r="I374" s="1">
        <v>2</v>
      </c>
      <c r="J374" s="1">
        <v>1.5</v>
      </c>
      <c r="K374" s="1">
        <v>1</v>
      </c>
      <c r="L374" s="1">
        <v>1</v>
      </c>
      <c r="M374" s="1">
        <v>765</v>
      </c>
      <c r="N374" s="1">
        <v>804</v>
      </c>
      <c r="O374" s="1">
        <v>1893</v>
      </c>
      <c r="P374" s="1">
        <v>1089</v>
      </c>
      <c r="Q374" s="1" t="s">
        <v>42</v>
      </c>
      <c r="S374" s="1" t="s">
        <v>42</v>
      </c>
      <c r="T374" s="1" t="s">
        <v>153</v>
      </c>
      <c r="U374" s="1">
        <v>63</v>
      </c>
      <c r="V374" s="5">
        <v>43641</v>
      </c>
      <c r="W374" s="5">
        <v>42528</v>
      </c>
      <c r="X374" s="1">
        <v>1485000</v>
      </c>
      <c r="Y374" s="1">
        <v>1485000</v>
      </c>
      <c r="Z374" s="5">
        <v>42591</v>
      </c>
      <c r="AA374" s="1">
        <v>1527375</v>
      </c>
      <c r="AB374" s="1" t="s">
        <v>283</v>
      </c>
      <c r="AC374" s="5">
        <v>43117</v>
      </c>
      <c r="AF374" s="1">
        <v>10009</v>
      </c>
      <c r="AI374" s="1" t="s">
        <v>71</v>
      </c>
      <c r="AJ374" s="1">
        <v>2017</v>
      </c>
      <c r="AK374" s="1" t="s">
        <v>49</v>
      </c>
      <c r="AL374" s="1">
        <v>82</v>
      </c>
    </row>
    <row r="375" spans="1:38" x14ac:dyDescent="0.2">
      <c r="A375" s="2" t="str">
        <f>HYPERLINK("https://www.compass.com/listing/438-east-12th-street-unit-3u-manhattan-ny-10009/29361653896183937/","438 E 12th St, Unit 3U")</f>
        <v>438 E 12th St, Unit 3U</v>
      </c>
      <c r="B375" s="2" t="str">
        <f t="shared" si="54"/>
        <v>Steiner East Village</v>
      </c>
      <c r="C375" s="1" t="s">
        <v>52</v>
      </c>
      <c r="D375" s="1" t="s">
        <v>41</v>
      </c>
      <c r="E375" s="3">
        <v>1654656</v>
      </c>
      <c r="F375" s="1">
        <v>2081.3283018867901</v>
      </c>
      <c r="G375" s="1">
        <v>3</v>
      </c>
      <c r="H375" s="1">
        <v>1</v>
      </c>
      <c r="I375" s="1">
        <v>2</v>
      </c>
      <c r="J375" s="1">
        <v>1.5</v>
      </c>
      <c r="K375" s="1">
        <v>1</v>
      </c>
      <c r="L375" s="1">
        <v>1</v>
      </c>
      <c r="M375" s="1">
        <v>795</v>
      </c>
      <c r="N375" s="1">
        <v>835</v>
      </c>
      <c r="O375" s="1">
        <v>1967</v>
      </c>
      <c r="P375" s="1">
        <v>1132</v>
      </c>
      <c r="Q375" s="1" t="s">
        <v>42</v>
      </c>
      <c r="S375" s="1" t="s">
        <v>42</v>
      </c>
      <c r="T375" s="1" t="s">
        <v>153</v>
      </c>
      <c r="U375" s="1">
        <v>161</v>
      </c>
      <c r="V375" s="5">
        <v>44376</v>
      </c>
      <c r="W375" s="5">
        <v>42580</v>
      </c>
      <c r="X375" s="1">
        <v>1525000</v>
      </c>
      <c r="Y375" s="1">
        <v>1625000</v>
      </c>
      <c r="Z375" s="5">
        <v>42741</v>
      </c>
      <c r="AA375" s="1">
        <v>1654656</v>
      </c>
      <c r="AB375" s="1" t="s">
        <v>284</v>
      </c>
      <c r="AC375" s="5">
        <v>43127</v>
      </c>
      <c r="AF375" s="1">
        <v>10009</v>
      </c>
      <c r="AI375" s="1" t="s">
        <v>71</v>
      </c>
      <c r="AJ375" s="1">
        <v>2017</v>
      </c>
      <c r="AK375" s="1" t="s">
        <v>49</v>
      </c>
      <c r="AL375" s="1">
        <v>82</v>
      </c>
    </row>
    <row r="376" spans="1:38" x14ac:dyDescent="0.2">
      <c r="A376" s="2" t="str">
        <f>HYPERLINK("https://www.compass.com/listing/438-east-12th-street-unit-4t-manhattan-ny-10009/29361661521428769/","438 E 12th St, Unit 4T")</f>
        <v>438 E 12th St, Unit 4T</v>
      </c>
      <c r="B376" s="2" t="str">
        <f t="shared" si="54"/>
        <v>Steiner East Village</v>
      </c>
      <c r="C376" s="1" t="s">
        <v>52</v>
      </c>
      <c r="D376" s="1" t="s">
        <v>41</v>
      </c>
      <c r="E376" s="3">
        <v>1542649</v>
      </c>
      <c r="F376" s="1">
        <v>2016.5346405228699</v>
      </c>
      <c r="G376" s="1">
        <v>3</v>
      </c>
      <c r="H376" s="1">
        <v>1</v>
      </c>
      <c r="I376" s="1">
        <v>2</v>
      </c>
      <c r="J376" s="1">
        <v>1.5</v>
      </c>
      <c r="K376" s="1">
        <v>1</v>
      </c>
      <c r="L376" s="1">
        <v>1</v>
      </c>
      <c r="M376" s="1">
        <v>765</v>
      </c>
      <c r="N376" s="1">
        <v>800</v>
      </c>
      <c r="O376" s="1">
        <v>1884</v>
      </c>
      <c r="P376" s="1">
        <v>1084</v>
      </c>
      <c r="Q376" s="1" t="s">
        <v>42</v>
      </c>
      <c r="S376" s="1" t="s">
        <v>42</v>
      </c>
      <c r="T376" s="1" t="s">
        <v>153</v>
      </c>
      <c r="V376" s="5">
        <v>43649</v>
      </c>
      <c r="W376" s="5">
        <v>42606</v>
      </c>
      <c r="X376" s="1">
        <v>1515000</v>
      </c>
      <c r="Y376" s="1">
        <v>1515000</v>
      </c>
      <c r="Z376" s="5">
        <v>42606</v>
      </c>
      <c r="AA376" s="1">
        <v>1542649</v>
      </c>
      <c r="AB376" s="1" t="s">
        <v>285</v>
      </c>
      <c r="AC376" s="5">
        <v>43162</v>
      </c>
      <c r="AF376" s="1">
        <v>10009</v>
      </c>
      <c r="AI376" s="1" t="s">
        <v>71</v>
      </c>
      <c r="AJ376" s="1">
        <v>2017</v>
      </c>
      <c r="AK376" s="1" t="s">
        <v>49</v>
      </c>
      <c r="AL376" s="1">
        <v>82</v>
      </c>
    </row>
    <row r="377" spans="1:38" x14ac:dyDescent="0.2">
      <c r="A377" s="2" t="str">
        <f>HYPERLINK("https://www.compass.com/listing/438-east-12th-street-unit-4u-manhattan-ny-10009/29361661982931217/","438 E 12th St, Unit 4U")</f>
        <v>438 E 12th St, Unit 4U</v>
      </c>
      <c r="B377" s="2" t="str">
        <f t="shared" si="54"/>
        <v>Steiner East Village</v>
      </c>
      <c r="C377" s="1" t="s">
        <v>52</v>
      </c>
      <c r="D377" s="1" t="s">
        <v>41</v>
      </c>
      <c r="E377" s="3">
        <v>1690284</v>
      </c>
      <c r="F377" s="1">
        <v>2126.14339622641</v>
      </c>
      <c r="G377" s="1">
        <v>3</v>
      </c>
      <c r="H377" s="1">
        <v>1</v>
      </c>
      <c r="I377" s="1">
        <v>2</v>
      </c>
      <c r="J377" s="1">
        <v>1.5</v>
      </c>
      <c r="M377" s="1">
        <v>795</v>
      </c>
      <c r="N377" s="1">
        <v>831</v>
      </c>
      <c r="O377" s="1">
        <v>1957</v>
      </c>
      <c r="P377" s="1">
        <v>1126</v>
      </c>
      <c r="Q377" s="1" t="s">
        <v>42</v>
      </c>
      <c r="S377" s="1" t="s">
        <v>42</v>
      </c>
      <c r="T377" s="1" t="s">
        <v>153</v>
      </c>
      <c r="U377" s="1">
        <v>54</v>
      </c>
      <c r="V377" s="5">
        <v>43643</v>
      </c>
      <c r="W377" s="5">
        <v>43076</v>
      </c>
      <c r="X377" s="1">
        <v>1675000</v>
      </c>
      <c r="Y377" s="1">
        <v>1675000</v>
      </c>
      <c r="Z377" s="5">
        <v>43130</v>
      </c>
      <c r="AA377" s="1">
        <v>1690284</v>
      </c>
      <c r="AB377" s="1" t="s">
        <v>286</v>
      </c>
      <c r="AC377" s="5">
        <v>43159</v>
      </c>
      <c r="AF377" s="1">
        <v>10009</v>
      </c>
      <c r="AI377" s="1" t="s">
        <v>71</v>
      </c>
      <c r="AJ377" s="1">
        <v>2017</v>
      </c>
      <c r="AK377" s="1" t="s">
        <v>49</v>
      </c>
      <c r="AL377" s="1">
        <v>82</v>
      </c>
    </row>
    <row r="378" spans="1:38" x14ac:dyDescent="0.2">
      <c r="A378" s="2" t="str">
        <f>HYPERLINK("https://www.compass.com/listing/246-west-16th-street-unit-3-manhattan-ny-10011/734077760874662641/","246 W 16th St, Unit 3")</f>
        <v>246 W 16th St, Unit 3</v>
      </c>
      <c r="B378" s="2" t="str">
        <f>HYPERLINK("https://www.compass.com/building/246-w-16th-st-manhattan-ny-10011/281907837800567589/","246 W 16th St")</f>
        <v>246 W 16th St</v>
      </c>
      <c r="C378" s="1" t="s">
        <v>73</v>
      </c>
      <c r="D378" s="1" t="s">
        <v>41</v>
      </c>
      <c r="E378" s="3">
        <v>3450000</v>
      </c>
      <c r="F378" s="1">
        <v>2123.0769230769201</v>
      </c>
      <c r="G378" s="1">
        <v>4.5</v>
      </c>
      <c r="H378" s="1">
        <v>2</v>
      </c>
      <c r="I378" s="1">
        <v>3</v>
      </c>
      <c r="J378" s="1">
        <v>2.5</v>
      </c>
      <c r="K378" s="1">
        <v>2</v>
      </c>
      <c r="L378" s="1">
        <v>1</v>
      </c>
      <c r="M378" s="4">
        <v>1625</v>
      </c>
      <c r="N378" s="1">
        <v>732</v>
      </c>
      <c r="O378" s="1">
        <v>1851</v>
      </c>
      <c r="P378" s="1">
        <v>1119</v>
      </c>
      <c r="Q378" s="1" t="s">
        <v>42</v>
      </c>
      <c r="S378" s="1" t="s">
        <v>42</v>
      </c>
      <c r="T378" s="1" t="s">
        <v>153</v>
      </c>
      <c r="U378" s="1">
        <v>21</v>
      </c>
      <c r="V378" s="5">
        <v>44376</v>
      </c>
      <c r="W378" s="5">
        <v>44222</v>
      </c>
      <c r="Y378" s="1">
        <v>3800000</v>
      </c>
      <c r="Z378" s="5">
        <v>44279</v>
      </c>
      <c r="AA378" s="1">
        <v>3450000</v>
      </c>
      <c r="AB378" s="1" t="s">
        <v>287</v>
      </c>
      <c r="AC378" s="5">
        <v>44363</v>
      </c>
      <c r="AF378" s="1">
        <v>10011</v>
      </c>
      <c r="AI378" s="1" t="s">
        <v>288</v>
      </c>
      <c r="AJ378" s="1">
        <v>2019</v>
      </c>
      <c r="AL378" s="1">
        <v>7</v>
      </c>
    </row>
    <row r="379" spans="1:38" x14ac:dyDescent="0.2">
      <c r="A379" s="2" t="str">
        <f>HYPERLINK("https://www.compass.com/listing/71-reade-street-unit-6b-manhattan-ny-10007/4852268172553764545/","71 Reade St, Unit 6B")</f>
        <v>71 Reade St, Unit 6B</v>
      </c>
      <c r="B379" s="2" t="str">
        <f>HYPERLINK("https://www.compass.com/building/reade-chambers-manhattan-ny/281897219919982101/","Reade Chambers")</f>
        <v>Reade Chambers</v>
      </c>
      <c r="C379" s="1" t="s">
        <v>65</v>
      </c>
      <c r="D379" s="1" t="s">
        <v>41</v>
      </c>
      <c r="E379" s="3">
        <v>4795000</v>
      </c>
      <c r="F379" s="1">
        <v>1884.0864440078501</v>
      </c>
      <c r="G379" s="1">
        <v>5</v>
      </c>
      <c r="H379" s="1">
        <v>3</v>
      </c>
      <c r="I379" s="1">
        <v>4</v>
      </c>
      <c r="J379" s="1">
        <v>3.5</v>
      </c>
      <c r="M379" s="4">
        <v>2545</v>
      </c>
      <c r="N379" s="1">
        <v>4665</v>
      </c>
      <c r="O379" s="1">
        <v>6294</v>
      </c>
      <c r="P379" s="1">
        <v>1629</v>
      </c>
      <c r="Q379" s="1" t="s">
        <v>42</v>
      </c>
      <c r="S379" s="1" t="s">
        <v>42</v>
      </c>
      <c r="T379" s="1" t="s">
        <v>153</v>
      </c>
      <c r="V379" s="5">
        <v>43651</v>
      </c>
      <c r="W379" s="5">
        <v>41976</v>
      </c>
      <c r="X379" s="1">
        <v>4795000</v>
      </c>
      <c r="Y379" s="1">
        <v>4795000</v>
      </c>
      <c r="Z379" s="5">
        <v>41976</v>
      </c>
      <c r="AA379" s="1">
        <v>4795000</v>
      </c>
      <c r="AB379" s="1" t="s">
        <v>177</v>
      </c>
      <c r="AC379" s="5">
        <v>42228</v>
      </c>
      <c r="AF379" s="1">
        <v>10007</v>
      </c>
      <c r="AI379" s="1" t="s">
        <v>53</v>
      </c>
      <c r="AJ379" s="1">
        <v>2015</v>
      </c>
      <c r="AK379" s="1" t="s">
        <v>86</v>
      </c>
      <c r="AL379" s="1">
        <v>18</v>
      </c>
    </row>
    <row r="380" spans="1:38" x14ac:dyDescent="0.2">
      <c r="A380" s="2" t="str">
        <f>HYPERLINK("https://www.compass.com/listing/2-park-place-unit-45b-manhattan-ny-10007/60736037403604353/","2 Park Pl, Unit 45B")</f>
        <v>2 Park Pl, Unit 45B</v>
      </c>
      <c r="B380" s="2" t="str">
        <f t="shared" ref="B380:B381" si="55">HYPERLINK("https://www.compass.com/building/the-woolworth-tower-residences-manhattan-ny/294842395015266853/","The Woolworth Tower Residences")</f>
        <v>The Woolworth Tower Residences</v>
      </c>
      <c r="C380" s="1" t="s">
        <v>65</v>
      </c>
      <c r="D380" s="1" t="s">
        <v>41</v>
      </c>
      <c r="E380" s="3">
        <v>3495000</v>
      </c>
      <c r="F380" s="1">
        <v>2700.9273570324499</v>
      </c>
      <c r="G380" s="1">
        <v>3</v>
      </c>
      <c r="H380" s="1">
        <v>1</v>
      </c>
      <c r="I380" s="1">
        <v>2</v>
      </c>
      <c r="J380" s="1">
        <v>1.5</v>
      </c>
      <c r="K380" s="1">
        <v>1</v>
      </c>
      <c r="L380" s="1">
        <v>1</v>
      </c>
      <c r="M380" s="4">
        <v>1294</v>
      </c>
      <c r="N380" s="1">
        <v>1942</v>
      </c>
      <c r="O380" s="1">
        <v>3758</v>
      </c>
      <c r="P380" s="1">
        <v>1816</v>
      </c>
      <c r="Q380" s="1" t="s">
        <v>42</v>
      </c>
      <c r="S380" s="1" t="s">
        <v>42</v>
      </c>
      <c r="T380" s="1" t="s">
        <v>153</v>
      </c>
      <c r="U380" s="1">
        <v>255</v>
      </c>
      <c r="V380" s="5">
        <v>44425</v>
      </c>
      <c r="W380" s="5">
        <v>43336</v>
      </c>
      <c r="X380" s="1">
        <v>3975000</v>
      </c>
      <c r="Y380" s="1">
        <v>3975000</v>
      </c>
      <c r="Z380" s="5">
        <v>43592</v>
      </c>
      <c r="AA380" s="1">
        <v>3495000</v>
      </c>
      <c r="AB380" s="1" t="s">
        <v>177</v>
      </c>
      <c r="AC380" s="5">
        <v>43644</v>
      </c>
      <c r="AF380" s="1">
        <v>10007</v>
      </c>
      <c r="AJ380" s="1">
        <v>1913</v>
      </c>
      <c r="AK380" s="1" t="s">
        <v>46</v>
      </c>
      <c r="AL380" s="1">
        <v>32</v>
      </c>
    </row>
    <row r="381" spans="1:38" x14ac:dyDescent="0.2">
      <c r="A381" s="2" t="str">
        <f>HYPERLINK("https://www.compass.com/listing/2-park-place-unit-40a-manhattan-ny-10007/29026724150842433/","2 Park Pl, Unit 40A")</f>
        <v>2 Park Pl, Unit 40A</v>
      </c>
      <c r="B381" s="2" t="str">
        <f t="shared" si="55"/>
        <v>The Woolworth Tower Residences</v>
      </c>
      <c r="C381" s="1" t="s">
        <v>65</v>
      </c>
      <c r="D381" s="1" t="s">
        <v>41</v>
      </c>
      <c r="E381" s="3">
        <v>18000000</v>
      </c>
      <c r="F381" s="1">
        <v>2953.24036095159</v>
      </c>
      <c r="G381" s="1">
        <v>7</v>
      </c>
      <c r="H381" s="1">
        <v>4</v>
      </c>
      <c r="I381" s="1">
        <v>5</v>
      </c>
      <c r="J381" s="1">
        <v>5</v>
      </c>
      <c r="K381" s="1">
        <v>4</v>
      </c>
      <c r="L381" s="1">
        <v>2</v>
      </c>
      <c r="M381" s="4">
        <v>6095</v>
      </c>
      <c r="N381" s="1">
        <v>9146</v>
      </c>
      <c r="O381" s="1">
        <v>17700</v>
      </c>
      <c r="P381" s="1">
        <v>8554</v>
      </c>
      <c r="Q381" s="1" t="s">
        <v>42</v>
      </c>
      <c r="S381" s="1" t="s">
        <v>42</v>
      </c>
      <c r="T381" s="1" t="s">
        <v>153</v>
      </c>
      <c r="U381" s="1">
        <v>330</v>
      </c>
      <c r="V381" s="5">
        <v>44342</v>
      </c>
      <c r="W381" s="5">
        <v>43202</v>
      </c>
      <c r="X381" s="1">
        <v>21325000</v>
      </c>
      <c r="Y381" s="1">
        <v>21325000</v>
      </c>
      <c r="Z381" s="5">
        <v>43532</v>
      </c>
      <c r="AA381" s="1">
        <v>18000000</v>
      </c>
      <c r="AB381" s="1" t="s">
        <v>289</v>
      </c>
      <c r="AC381" s="5">
        <v>43634</v>
      </c>
      <c r="AF381" s="1">
        <v>10007</v>
      </c>
      <c r="AJ381" s="1">
        <v>1913</v>
      </c>
      <c r="AK381" s="1" t="s">
        <v>46</v>
      </c>
      <c r="AL381" s="1">
        <v>32</v>
      </c>
    </row>
    <row r="382" spans="1:38" x14ac:dyDescent="0.2">
      <c r="A382" s="2" t="str">
        <f>HYPERLINK("https://www.compass.com/listing/71-reade-street-unit-2b-manhattan-ny-10007/4852323269090477313/","71 Reade St, Unit 2B")</f>
        <v>71 Reade St, Unit 2B</v>
      </c>
      <c r="B382" s="2" t="str">
        <f>HYPERLINK("https://www.compass.com/building/reade-chambers-manhattan-ny/281897219919982101/","Reade Chambers")</f>
        <v>Reade Chambers</v>
      </c>
      <c r="C382" s="1" t="s">
        <v>65</v>
      </c>
      <c r="D382" s="1" t="s">
        <v>41</v>
      </c>
      <c r="E382" s="3">
        <v>3525000</v>
      </c>
      <c r="F382" s="1">
        <v>1821.7054263565799</v>
      </c>
      <c r="G382" s="1">
        <v>5</v>
      </c>
      <c r="H382" s="1">
        <v>3</v>
      </c>
      <c r="I382" s="1">
        <v>4</v>
      </c>
      <c r="J382" s="1">
        <v>3.5</v>
      </c>
      <c r="K382" s="1">
        <v>3</v>
      </c>
      <c r="L382" s="1">
        <v>1</v>
      </c>
      <c r="M382" s="4">
        <v>1935</v>
      </c>
      <c r="N382" s="1">
        <v>3583</v>
      </c>
      <c r="O382" s="1">
        <v>4834</v>
      </c>
      <c r="P382" s="1">
        <v>1251</v>
      </c>
      <c r="Q382" s="1" t="s">
        <v>42</v>
      </c>
      <c r="S382" s="1" t="s">
        <v>42</v>
      </c>
      <c r="T382" s="1" t="s">
        <v>153</v>
      </c>
      <c r="V382" s="5">
        <v>44225</v>
      </c>
      <c r="W382" s="5">
        <v>41976</v>
      </c>
      <c r="X382" s="1">
        <v>3525000</v>
      </c>
      <c r="Y382" s="1">
        <v>3525000</v>
      </c>
      <c r="Z382" s="5">
        <v>41976</v>
      </c>
      <c r="AA382" s="1">
        <v>3525000</v>
      </c>
      <c r="AB382" s="1" t="s">
        <v>177</v>
      </c>
      <c r="AC382" s="5">
        <v>42243</v>
      </c>
      <c r="AF382" s="1">
        <v>10007</v>
      </c>
      <c r="AI382" s="1" t="s">
        <v>88</v>
      </c>
      <c r="AJ382" s="1">
        <v>2015</v>
      </c>
      <c r="AK382" s="1" t="s">
        <v>99</v>
      </c>
      <c r="AL382" s="1">
        <v>18</v>
      </c>
    </row>
    <row r="383" spans="1:38" x14ac:dyDescent="0.2">
      <c r="A383" s="2" t="str">
        <f>HYPERLINK("https://www.compass.com/listing/438-east-12th-street-unit-3l-manhattan-ny-10009/29361650641532401/","438 E 12th St, Unit 3L")</f>
        <v>438 E 12th St, Unit 3L</v>
      </c>
      <c r="B383" s="2" t="str">
        <f t="shared" ref="B383:B391" si="56">HYPERLINK("https://www.compass.com/building/steiner-east-village-manhattan-ny/281900317572873557/","Steiner East Village")</f>
        <v>Steiner East Village</v>
      </c>
      <c r="C383" s="1" t="s">
        <v>52</v>
      </c>
      <c r="D383" s="1" t="s">
        <v>41</v>
      </c>
      <c r="E383" s="3">
        <v>1120075</v>
      </c>
      <c r="F383" s="1">
        <v>1842.22861842105</v>
      </c>
      <c r="G383" s="1">
        <v>3</v>
      </c>
      <c r="H383" s="1">
        <v>1</v>
      </c>
      <c r="I383" s="1">
        <v>1</v>
      </c>
      <c r="J383" s="1">
        <v>1</v>
      </c>
      <c r="K383" s="1">
        <v>1</v>
      </c>
      <c r="M383" s="1">
        <v>608</v>
      </c>
      <c r="N383" s="1">
        <v>639</v>
      </c>
      <c r="O383" s="1">
        <v>1505</v>
      </c>
      <c r="P383" s="1">
        <v>866</v>
      </c>
      <c r="Q383" s="1" t="s">
        <v>42</v>
      </c>
      <c r="S383" s="1" t="s">
        <v>42</v>
      </c>
      <c r="T383" s="1" t="s">
        <v>153</v>
      </c>
      <c r="U383" s="1">
        <v>46</v>
      </c>
      <c r="V383" s="5">
        <v>43641</v>
      </c>
      <c r="W383" s="5">
        <v>42538</v>
      </c>
      <c r="X383" s="1">
        <v>1100000</v>
      </c>
      <c r="Y383" s="1">
        <v>1100000</v>
      </c>
      <c r="Z383" s="5">
        <v>42584</v>
      </c>
      <c r="AA383" s="1">
        <v>1120075</v>
      </c>
      <c r="AB383" s="1" t="s">
        <v>290</v>
      </c>
      <c r="AC383" s="5">
        <v>43130</v>
      </c>
      <c r="AF383" s="1">
        <v>10009</v>
      </c>
      <c r="AI383" s="1" t="s">
        <v>71</v>
      </c>
      <c r="AJ383" s="1">
        <v>2017</v>
      </c>
      <c r="AK383" s="1" t="s">
        <v>49</v>
      </c>
      <c r="AL383" s="1">
        <v>82</v>
      </c>
    </row>
    <row r="384" spans="1:38" x14ac:dyDescent="0.2">
      <c r="A384" s="2" t="str">
        <f>HYPERLINK("https://www.compass.com/listing/438-east-12th-street-unit-3p-manhattan-ny-10009/29361651790771729/","438 E 12th St, Unit 3P")</f>
        <v>438 E 12th St, Unit 3P</v>
      </c>
      <c r="B384" s="2" t="str">
        <f t="shared" si="56"/>
        <v>Steiner East Village</v>
      </c>
      <c r="C384" s="1" t="s">
        <v>52</v>
      </c>
      <c r="D384" s="1" t="s">
        <v>41</v>
      </c>
      <c r="E384" s="3">
        <v>1313543</v>
      </c>
      <c r="F384" s="1">
        <v>1984.20392749244</v>
      </c>
      <c r="G384" s="1">
        <v>3</v>
      </c>
      <c r="H384" s="1">
        <v>1</v>
      </c>
      <c r="I384" s="1">
        <v>1</v>
      </c>
      <c r="J384" s="1">
        <v>1</v>
      </c>
      <c r="M384" s="1">
        <v>662</v>
      </c>
      <c r="N384" s="1">
        <v>695</v>
      </c>
      <c r="O384" s="1">
        <v>1638</v>
      </c>
      <c r="P384" s="1">
        <v>943</v>
      </c>
      <c r="Q384" s="1" t="s">
        <v>42</v>
      </c>
      <c r="S384" s="1" t="s">
        <v>42</v>
      </c>
      <c r="T384" s="1" t="s">
        <v>153</v>
      </c>
      <c r="U384" s="1">
        <v>55</v>
      </c>
      <c r="V384" s="5">
        <v>43641</v>
      </c>
      <c r="W384" s="5">
        <v>42528</v>
      </c>
      <c r="X384" s="1">
        <v>1275000</v>
      </c>
      <c r="Y384" s="1">
        <v>1275000</v>
      </c>
      <c r="Z384" s="5">
        <v>42583</v>
      </c>
      <c r="AA384" s="1">
        <v>1313543</v>
      </c>
      <c r="AB384" s="1" t="s">
        <v>291</v>
      </c>
      <c r="AC384" s="5">
        <v>43134</v>
      </c>
      <c r="AF384" s="1">
        <v>10009</v>
      </c>
      <c r="AI384" s="1" t="s">
        <v>71</v>
      </c>
      <c r="AJ384" s="1">
        <v>2017</v>
      </c>
      <c r="AK384" s="1" t="s">
        <v>49</v>
      </c>
      <c r="AL384" s="1">
        <v>82</v>
      </c>
    </row>
    <row r="385" spans="1:38" x14ac:dyDescent="0.2">
      <c r="A385" s="2" t="str">
        <f>HYPERLINK("https://www.compass.com/listing/438-east-12th-street-unit-4a-manhattan-ny-10009/29361654332520001/","438 E 12th St, Unit 4A")</f>
        <v>438 E 12th St, Unit 4A</v>
      </c>
      <c r="B385" s="2" t="str">
        <f t="shared" si="56"/>
        <v>Steiner East Village</v>
      </c>
      <c r="C385" s="1" t="s">
        <v>52</v>
      </c>
      <c r="D385" s="1" t="s">
        <v>41</v>
      </c>
      <c r="E385" s="3">
        <v>1552831</v>
      </c>
      <c r="F385" s="1">
        <v>2087.1384408602098</v>
      </c>
      <c r="G385" s="1">
        <v>4</v>
      </c>
      <c r="H385" s="1">
        <v>1</v>
      </c>
      <c r="I385" s="1">
        <v>1</v>
      </c>
      <c r="J385" s="1">
        <v>1</v>
      </c>
      <c r="M385" s="1">
        <v>744</v>
      </c>
      <c r="N385" s="1">
        <v>782</v>
      </c>
      <c r="O385" s="1">
        <v>1842</v>
      </c>
      <c r="P385" s="1">
        <v>1060</v>
      </c>
      <c r="Q385" s="1" t="s">
        <v>42</v>
      </c>
      <c r="S385" s="1" t="s">
        <v>42</v>
      </c>
      <c r="T385" s="1" t="s">
        <v>153</v>
      </c>
      <c r="U385" s="1">
        <v>97</v>
      </c>
      <c r="V385" s="5">
        <v>43643</v>
      </c>
      <c r="W385" s="5">
        <v>42489</v>
      </c>
      <c r="X385" s="1">
        <v>1525000</v>
      </c>
      <c r="Y385" s="1">
        <v>1525000</v>
      </c>
      <c r="Z385" s="5">
        <v>42586</v>
      </c>
      <c r="AA385" s="1">
        <v>1552831</v>
      </c>
      <c r="AB385" s="1" t="s">
        <v>292</v>
      </c>
      <c r="AC385" s="5">
        <v>43098</v>
      </c>
      <c r="AF385" s="1">
        <v>10009</v>
      </c>
      <c r="AI385" s="1" t="s">
        <v>71</v>
      </c>
      <c r="AJ385" s="1">
        <v>2017</v>
      </c>
      <c r="AK385" s="1" t="s">
        <v>49</v>
      </c>
      <c r="AL385" s="1">
        <v>82</v>
      </c>
    </row>
    <row r="386" spans="1:38" x14ac:dyDescent="0.2">
      <c r="A386" s="2" t="str">
        <f>HYPERLINK("https://www.compass.com/listing/438-east-12th-street-unit-4h-manhattan-ny-10009/29361656723144929/","438 E 12th St, Unit 4H")</f>
        <v>438 E 12th St, Unit 4H</v>
      </c>
      <c r="B386" s="2" t="str">
        <f t="shared" si="56"/>
        <v>Steiner East Village</v>
      </c>
      <c r="C386" s="1" t="s">
        <v>52</v>
      </c>
      <c r="D386" s="1" t="s">
        <v>41</v>
      </c>
      <c r="E386" s="3">
        <v>1440824</v>
      </c>
      <c r="F386" s="1">
        <v>2163.3993993993899</v>
      </c>
      <c r="G386" s="1">
        <v>3</v>
      </c>
      <c r="H386" s="1">
        <v>1</v>
      </c>
      <c r="I386" s="1">
        <v>1</v>
      </c>
      <c r="J386" s="1">
        <v>1</v>
      </c>
      <c r="M386" s="1">
        <v>666</v>
      </c>
      <c r="N386" s="1">
        <v>691</v>
      </c>
      <c r="O386" s="1">
        <v>1627</v>
      </c>
      <c r="P386" s="1">
        <v>936</v>
      </c>
      <c r="Q386" s="1" t="s">
        <v>42</v>
      </c>
      <c r="S386" s="1" t="s">
        <v>42</v>
      </c>
      <c r="T386" s="1" t="s">
        <v>153</v>
      </c>
      <c r="U386" s="1">
        <v>81</v>
      </c>
      <c r="V386" s="5">
        <v>43641</v>
      </c>
      <c r="W386" s="5">
        <v>42748</v>
      </c>
      <c r="X386" s="1">
        <v>1395000</v>
      </c>
      <c r="Y386" s="1">
        <v>1395000</v>
      </c>
      <c r="Z386" s="5">
        <v>42829</v>
      </c>
      <c r="AA386" s="1">
        <v>1440824</v>
      </c>
      <c r="AB386" s="1" t="s">
        <v>293</v>
      </c>
      <c r="AC386" s="5">
        <v>43141</v>
      </c>
      <c r="AF386" s="1">
        <v>10009</v>
      </c>
      <c r="AI386" s="1" t="s">
        <v>71</v>
      </c>
      <c r="AJ386" s="1">
        <v>2017</v>
      </c>
      <c r="AK386" s="1" t="s">
        <v>49</v>
      </c>
      <c r="AL386" s="1">
        <v>82</v>
      </c>
    </row>
    <row r="387" spans="1:38" x14ac:dyDescent="0.2">
      <c r="A387" s="2" t="str">
        <f>HYPERLINK("https://www.compass.com/listing/438-east-12th-street-unit-4n-manhattan-ny-10009/29361658367440833/","438 E 12th St, Unit 4N")</f>
        <v>438 E 12th St, Unit 4N</v>
      </c>
      <c r="B387" s="2" t="str">
        <f t="shared" si="56"/>
        <v>Steiner East Village</v>
      </c>
      <c r="C387" s="1" t="s">
        <v>52</v>
      </c>
      <c r="D387" s="1" t="s">
        <v>41</v>
      </c>
      <c r="E387" s="3">
        <v>1350000</v>
      </c>
      <c r="F387" s="1">
        <v>2017.9372197309399</v>
      </c>
      <c r="G387" s="1">
        <v>3</v>
      </c>
      <c r="H387" s="1">
        <v>1</v>
      </c>
      <c r="I387" s="1">
        <v>1</v>
      </c>
      <c r="J387" s="1">
        <v>1</v>
      </c>
      <c r="K387" s="1">
        <v>1</v>
      </c>
      <c r="M387" s="1">
        <v>669</v>
      </c>
      <c r="N387" s="1">
        <v>703</v>
      </c>
      <c r="O387" s="1">
        <v>1656</v>
      </c>
      <c r="P387" s="1">
        <v>953</v>
      </c>
      <c r="Q387" s="1" t="s">
        <v>42</v>
      </c>
      <c r="S387" s="1" t="s">
        <v>42</v>
      </c>
      <c r="T387" s="1" t="s">
        <v>153</v>
      </c>
      <c r="U387" s="1">
        <v>61</v>
      </c>
      <c r="V387" s="5">
        <v>43641</v>
      </c>
      <c r="W387" s="5">
        <v>42504</v>
      </c>
      <c r="X387" s="1">
        <v>1350000</v>
      </c>
      <c r="Y387" s="1">
        <v>1350000</v>
      </c>
      <c r="Z387" s="5">
        <v>42565</v>
      </c>
      <c r="AA387" s="1">
        <v>1350000</v>
      </c>
      <c r="AB387" s="1" t="s">
        <v>294</v>
      </c>
      <c r="AC387" s="5">
        <v>43130</v>
      </c>
      <c r="AF387" s="1">
        <v>10009</v>
      </c>
      <c r="AI387" s="1" t="s">
        <v>71</v>
      </c>
      <c r="AJ387" s="1">
        <v>2017</v>
      </c>
      <c r="AK387" s="1" t="s">
        <v>49</v>
      </c>
      <c r="AL387" s="1">
        <v>82</v>
      </c>
    </row>
    <row r="388" spans="1:38" x14ac:dyDescent="0.2">
      <c r="A388" s="2" t="str">
        <f>HYPERLINK("https://www.compass.com/listing/438-east-12th-street-unit-6a-manhattan-ny-10009/29361667435488049/","438 E 12th St, Unit 6A")</f>
        <v>438 E 12th St, Unit 6A</v>
      </c>
      <c r="B388" s="2" t="str">
        <f t="shared" si="56"/>
        <v>Steiner East Village</v>
      </c>
      <c r="C388" s="1" t="s">
        <v>52</v>
      </c>
      <c r="D388" s="1" t="s">
        <v>41</v>
      </c>
      <c r="E388" s="3">
        <v>1629200</v>
      </c>
      <c r="F388" s="1">
        <v>2256.5096952908498</v>
      </c>
      <c r="G388" s="1">
        <v>4</v>
      </c>
      <c r="H388" s="1">
        <v>1</v>
      </c>
      <c r="I388" s="1">
        <v>1</v>
      </c>
      <c r="J388" s="1">
        <v>1</v>
      </c>
      <c r="K388" s="1">
        <v>1</v>
      </c>
      <c r="M388" s="1">
        <v>722</v>
      </c>
      <c r="N388" s="1">
        <v>759</v>
      </c>
      <c r="O388" s="1">
        <v>1786</v>
      </c>
      <c r="P388" s="1">
        <v>1027</v>
      </c>
      <c r="Q388" s="1" t="s">
        <v>42</v>
      </c>
      <c r="S388" s="1" t="s">
        <v>42</v>
      </c>
      <c r="T388" s="1" t="s">
        <v>153</v>
      </c>
      <c r="V388" s="5">
        <v>43641</v>
      </c>
      <c r="W388" s="5">
        <v>42599</v>
      </c>
      <c r="X388" s="1">
        <v>1600000</v>
      </c>
      <c r="Y388" s="1">
        <v>1600000</v>
      </c>
      <c r="Z388" s="5">
        <v>42599</v>
      </c>
      <c r="AA388" s="1">
        <v>1629200</v>
      </c>
      <c r="AB388" s="1" t="s">
        <v>295</v>
      </c>
      <c r="AC388" s="5">
        <v>43180</v>
      </c>
      <c r="AF388" s="1">
        <v>10009</v>
      </c>
      <c r="AI388" s="1" t="s">
        <v>71</v>
      </c>
      <c r="AJ388" s="1">
        <v>2017</v>
      </c>
      <c r="AK388" s="1" t="s">
        <v>49</v>
      </c>
      <c r="AL388" s="1">
        <v>82</v>
      </c>
    </row>
    <row r="389" spans="1:38" x14ac:dyDescent="0.2">
      <c r="A389" s="2" t="str">
        <f>HYPERLINK("https://www.compass.com/listing/438-east-12th-street-unit-3h-manhattan-ny-10009/29514448129493649/","438 E 12th St, Unit 3H")</f>
        <v>438 E 12th St, Unit 3H</v>
      </c>
      <c r="B389" s="2" t="str">
        <f t="shared" si="56"/>
        <v>Steiner East Village</v>
      </c>
      <c r="C389" s="1" t="s">
        <v>52</v>
      </c>
      <c r="D389" s="1" t="s">
        <v>41</v>
      </c>
      <c r="E389" s="3">
        <v>1476463</v>
      </c>
      <c r="F389" s="1">
        <v>2216.91141141141</v>
      </c>
      <c r="G389" s="1">
        <v>3</v>
      </c>
      <c r="H389" s="1">
        <v>1</v>
      </c>
      <c r="I389" s="1">
        <v>1</v>
      </c>
      <c r="J389" s="1">
        <v>1</v>
      </c>
      <c r="K389" s="1">
        <v>1</v>
      </c>
      <c r="M389" s="1">
        <v>666</v>
      </c>
      <c r="N389" s="1">
        <v>696</v>
      </c>
      <c r="O389" s="1">
        <v>1639</v>
      </c>
      <c r="P389" s="1">
        <v>943</v>
      </c>
      <c r="Q389" s="1" t="s">
        <v>42</v>
      </c>
      <c r="S389" s="1" t="s">
        <v>42</v>
      </c>
      <c r="T389" s="1" t="s">
        <v>153</v>
      </c>
      <c r="V389" s="5">
        <v>43643</v>
      </c>
      <c r="W389" s="5">
        <v>43146</v>
      </c>
      <c r="X389" s="1">
        <v>1475000</v>
      </c>
      <c r="Y389" s="1">
        <v>1475000</v>
      </c>
      <c r="Z389" s="5">
        <v>43146</v>
      </c>
      <c r="AA389" s="1">
        <v>1476463</v>
      </c>
      <c r="AB389" s="1" t="s">
        <v>296</v>
      </c>
      <c r="AC389" s="5">
        <v>43293</v>
      </c>
      <c r="AF389" s="1">
        <v>10009</v>
      </c>
      <c r="AI389" s="1" t="s">
        <v>71</v>
      </c>
      <c r="AJ389" s="1">
        <v>2017</v>
      </c>
      <c r="AK389" s="1" t="s">
        <v>49</v>
      </c>
      <c r="AL389" s="1">
        <v>82</v>
      </c>
    </row>
    <row r="390" spans="1:38" x14ac:dyDescent="0.2">
      <c r="A390" s="2" t="str">
        <f>HYPERLINK("https://www.compass.com/listing/438-east-12th-street-unit-3n-manhattan-ny-10009/29669247718367105/","438 E 12th St, Unit 3N")</f>
        <v>438 E 12th St, Unit 3N</v>
      </c>
      <c r="B390" s="2" t="str">
        <f t="shared" si="56"/>
        <v>Steiner East Village</v>
      </c>
      <c r="C390" s="1" t="s">
        <v>52</v>
      </c>
      <c r="D390" s="1" t="s">
        <v>41</v>
      </c>
      <c r="E390" s="3">
        <v>1522284</v>
      </c>
      <c r="F390" s="1">
        <v>2275.4618834080702</v>
      </c>
      <c r="G390" s="1">
        <v>3</v>
      </c>
      <c r="H390" s="1">
        <v>1</v>
      </c>
      <c r="I390" s="1">
        <v>1</v>
      </c>
      <c r="J390" s="1">
        <v>1</v>
      </c>
      <c r="K390" s="1">
        <v>1</v>
      </c>
      <c r="M390" s="1">
        <v>669</v>
      </c>
      <c r="N390" s="1">
        <v>699</v>
      </c>
      <c r="O390" s="1">
        <v>1647</v>
      </c>
      <c r="P390" s="1">
        <v>948</v>
      </c>
      <c r="Q390" s="1" t="s">
        <v>42</v>
      </c>
      <c r="S390" s="1" t="s">
        <v>42</v>
      </c>
      <c r="T390" s="1" t="s">
        <v>153</v>
      </c>
      <c r="V390" s="5">
        <v>44338</v>
      </c>
      <c r="W390" s="5">
        <v>43214</v>
      </c>
      <c r="X390" s="1">
        <v>1475000</v>
      </c>
      <c r="Y390" s="1">
        <v>1475000</v>
      </c>
      <c r="Z390" s="5">
        <v>43214</v>
      </c>
      <c r="AA390" s="1">
        <v>1522284</v>
      </c>
      <c r="AB390" s="1" t="s">
        <v>297</v>
      </c>
      <c r="AC390" s="5">
        <v>43246</v>
      </c>
      <c r="AF390" s="1">
        <v>10009</v>
      </c>
      <c r="AI390" s="1" t="s">
        <v>71</v>
      </c>
      <c r="AJ390" s="1">
        <v>2017</v>
      </c>
      <c r="AK390" s="1" t="s">
        <v>49</v>
      </c>
      <c r="AL390" s="1">
        <v>82</v>
      </c>
    </row>
    <row r="391" spans="1:38" x14ac:dyDescent="0.2">
      <c r="A391" s="2" t="str">
        <f>HYPERLINK("https://www.compass.com/listing/438-east-12th-street-unit-5a-manhattan-ny-10009/783651218733996841/","438 E 12th St, Unit 5A")</f>
        <v>438 E 12th St, Unit 5A</v>
      </c>
      <c r="B391" s="2" t="str">
        <f t="shared" si="56"/>
        <v>Steiner East Village</v>
      </c>
      <c r="C391" s="1" t="s">
        <v>52</v>
      </c>
      <c r="D391" s="1" t="s">
        <v>41</v>
      </c>
      <c r="E391" s="3">
        <v>1624109</v>
      </c>
      <c r="F391" s="1">
        <v>2182.9418682795699</v>
      </c>
      <c r="G391" s="1">
        <v>3</v>
      </c>
      <c r="H391" s="1">
        <v>1</v>
      </c>
      <c r="I391" s="1">
        <v>1</v>
      </c>
      <c r="J391" s="1">
        <v>1</v>
      </c>
      <c r="K391" s="1">
        <v>1</v>
      </c>
      <c r="M391" s="1">
        <v>744</v>
      </c>
      <c r="N391" s="1">
        <v>778</v>
      </c>
      <c r="O391" s="1">
        <v>1832</v>
      </c>
      <c r="P391" s="1">
        <v>1054</v>
      </c>
      <c r="Q391" s="1" t="s">
        <v>42</v>
      </c>
      <c r="S391" s="1" t="s">
        <v>42</v>
      </c>
      <c r="T391" s="1" t="s">
        <v>153</v>
      </c>
      <c r="U391" s="1">
        <v>315</v>
      </c>
      <c r="V391" s="5">
        <v>43517</v>
      </c>
      <c r="W391" s="5">
        <v>42460</v>
      </c>
      <c r="X391" s="1">
        <v>1595000</v>
      </c>
      <c r="Y391" s="1">
        <v>1595000</v>
      </c>
      <c r="Z391" s="5">
        <v>42776</v>
      </c>
      <c r="AA391" s="1">
        <v>1624108.75</v>
      </c>
      <c r="AB391" s="1" t="s">
        <v>298</v>
      </c>
      <c r="AC391" s="5">
        <v>43138</v>
      </c>
      <c r="AF391" s="1">
        <v>10009</v>
      </c>
      <c r="AI391" s="1" t="s">
        <v>71</v>
      </c>
      <c r="AJ391" s="1">
        <v>2017</v>
      </c>
      <c r="AK391" s="1" t="s">
        <v>49</v>
      </c>
      <c r="AL391" s="1">
        <v>82</v>
      </c>
    </row>
    <row r="392" spans="1:38" x14ac:dyDescent="0.2">
      <c r="A392" s="2" t="str">
        <f>HYPERLINK("https://www.compass.com/listing/71-reade-street-unit-3a-manhattan-ny-10007/4852319826699360513/","71 Reade St, Unit 3A")</f>
        <v>71 Reade St, Unit 3A</v>
      </c>
      <c r="B392" s="2" t="str">
        <f>HYPERLINK("https://www.compass.com/building/reade-chambers-manhattan-ny/281897219919982101/","Reade Chambers")</f>
        <v>Reade Chambers</v>
      </c>
      <c r="C392" s="1" t="s">
        <v>65</v>
      </c>
      <c r="D392" s="1" t="s">
        <v>41</v>
      </c>
      <c r="E392" s="3">
        <v>1650000</v>
      </c>
      <c r="F392" s="1">
        <v>1664.9848637739599</v>
      </c>
      <c r="G392" s="1">
        <v>3</v>
      </c>
      <c r="H392" s="1">
        <v>1</v>
      </c>
      <c r="I392" s="1">
        <v>1</v>
      </c>
      <c r="J392" s="1">
        <v>1</v>
      </c>
      <c r="M392" s="1">
        <v>991</v>
      </c>
      <c r="N392" s="1">
        <v>1796</v>
      </c>
      <c r="O392" s="1">
        <v>1796</v>
      </c>
      <c r="Q392" s="1" t="s">
        <v>42</v>
      </c>
      <c r="S392" s="1" t="s">
        <v>42</v>
      </c>
      <c r="T392" s="1" t="s">
        <v>153</v>
      </c>
      <c r="V392" s="5">
        <v>43651</v>
      </c>
      <c r="W392" s="5">
        <v>41976</v>
      </c>
      <c r="X392" s="1">
        <v>1650000</v>
      </c>
      <c r="Y392" s="1">
        <v>1650000</v>
      </c>
      <c r="Z392" s="5">
        <v>41976</v>
      </c>
      <c r="AA392" s="1">
        <v>1650000</v>
      </c>
      <c r="AB392" s="1" t="s">
        <v>177</v>
      </c>
      <c r="AC392" s="5">
        <v>42235</v>
      </c>
      <c r="AF392" s="1">
        <v>10007</v>
      </c>
      <c r="AI392" s="1" t="s">
        <v>53</v>
      </c>
      <c r="AJ392" s="1">
        <v>2015</v>
      </c>
      <c r="AK392" s="1" t="s">
        <v>99</v>
      </c>
      <c r="AL392" s="1">
        <v>18</v>
      </c>
    </row>
    <row r="393" spans="1:38" x14ac:dyDescent="0.2">
      <c r="A393" s="2" t="str">
        <f>HYPERLINK("https://www.compass.com/listing/438-east-12th-street-unit-3m-manhattan-ny-10009/29361651052536305/","438 E 12th St, Unit 3M")</f>
        <v>438 E 12th St, Unit 3M</v>
      </c>
      <c r="B393" s="2" t="str">
        <f t="shared" ref="B393:B418" si="57">HYPERLINK("https://www.compass.com/building/steiner-east-village-manhattan-ny/281900317572873557/","Steiner East Village")</f>
        <v>Steiner East Village</v>
      </c>
      <c r="C393" s="1" t="s">
        <v>52</v>
      </c>
      <c r="D393" s="1" t="s">
        <v>41</v>
      </c>
      <c r="E393" s="3">
        <v>2987725</v>
      </c>
      <c r="F393" s="1">
        <v>2221.3568773234201</v>
      </c>
      <c r="G393" s="1">
        <v>6</v>
      </c>
      <c r="H393" s="1">
        <v>3</v>
      </c>
      <c r="I393" s="1">
        <v>3</v>
      </c>
      <c r="J393" s="1">
        <v>3</v>
      </c>
      <c r="K393" s="1">
        <v>3</v>
      </c>
      <c r="M393" s="4">
        <v>1345</v>
      </c>
      <c r="N393" s="1">
        <v>1413</v>
      </c>
      <c r="O393" s="1">
        <v>3329</v>
      </c>
      <c r="P393" s="1">
        <v>1916</v>
      </c>
      <c r="Q393" s="1" t="s">
        <v>42</v>
      </c>
      <c r="S393" s="1" t="s">
        <v>42</v>
      </c>
      <c r="T393" s="1" t="s">
        <v>153</v>
      </c>
      <c r="V393" s="5">
        <v>43641</v>
      </c>
      <c r="W393" s="5">
        <v>42476</v>
      </c>
      <c r="X393" s="1">
        <v>2900000</v>
      </c>
      <c r="Y393" s="1">
        <v>2900000</v>
      </c>
      <c r="Z393" s="5">
        <v>42476</v>
      </c>
      <c r="AA393" s="1">
        <v>2987725</v>
      </c>
      <c r="AB393" s="1" t="s">
        <v>299</v>
      </c>
      <c r="AC393" s="5">
        <v>43180</v>
      </c>
      <c r="AF393" s="1">
        <v>10009</v>
      </c>
      <c r="AI393" s="1" t="s">
        <v>71</v>
      </c>
      <c r="AJ393" s="1">
        <v>2017</v>
      </c>
      <c r="AK393" s="1" t="s">
        <v>49</v>
      </c>
      <c r="AL393" s="1">
        <v>82</v>
      </c>
    </row>
    <row r="394" spans="1:38" x14ac:dyDescent="0.2">
      <c r="A394" s="2" t="str">
        <f>HYPERLINK("https://www.compass.com/listing/438-east-12th-street-unit-5p-manhattan-ny-10009/29361666135253793/","438 E 12th St, Unit 5P")</f>
        <v>438 E 12th St, Unit 5P</v>
      </c>
      <c r="B394" s="2" t="str">
        <f t="shared" si="57"/>
        <v>Steiner East Village</v>
      </c>
      <c r="C394" s="1" t="s">
        <v>52</v>
      </c>
      <c r="D394" s="1" t="s">
        <v>41</v>
      </c>
      <c r="E394" s="3">
        <v>2884700</v>
      </c>
      <c r="F394" s="1">
        <v>2262.50980392156</v>
      </c>
      <c r="G394" s="1">
        <v>4</v>
      </c>
      <c r="H394" s="1">
        <v>2</v>
      </c>
      <c r="I394" s="1">
        <v>3</v>
      </c>
      <c r="J394" s="1">
        <v>2.5</v>
      </c>
      <c r="K394" s="1">
        <v>2</v>
      </c>
      <c r="L394" s="1">
        <v>1</v>
      </c>
      <c r="M394" s="4">
        <v>1275</v>
      </c>
      <c r="N394" s="1">
        <v>1332</v>
      </c>
      <c r="O394" s="1">
        <v>3137</v>
      </c>
      <c r="P394" s="1">
        <v>1805</v>
      </c>
      <c r="Q394" s="1" t="s">
        <v>42</v>
      </c>
      <c r="S394" s="1" t="s">
        <v>42</v>
      </c>
      <c r="T394" s="1" t="s">
        <v>153</v>
      </c>
      <c r="V394" s="5">
        <v>43650</v>
      </c>
      <c r="W394" s="5">
        <v>42476</v>
      </c>
      <c r="X394" s="1">
        <v>2800000</v>
      </c>
      <c r="Y394" s="1">
        <v>2800000</v>
      </c>
      <c r="Z394" s="5">
        <v>42476</v>
      </c>
      <c r="AA394" s="1">
        <v>2884700</v>
      </c>
      <c r="AB394" s="1" t="s">
        <v>300</v>
      </c>
      <c r="AC394" s="5">
        <v>43180</v>
      </c>
      <c r="AF394" s="1">
        <v>10009</v>
      </c>
      <c r="AI394" s="1" t="s">
        <v>71</v>
      </c>
      <c r="AJ394" s="1">
        <v>2017</v>
      </c>
      <c r="AK394" s="1" t="s">
        <v>49</v>
      </c>
      <c r="AL394" s="1">
        <v>82</v>
      </c>
    </row>
    <row r="395" spans="1:38" x14ac:dyDescent="0.2">
      <c r="A395" s="2" t="str">
        <f>HYPERLINK("https://www.compass.com/listing/438-east-12th-street-unit-6p-manhattan-ny-10009/29361671596237905/","438 E 12th St, Unit 6P")</f>
        <v>438 E 12th St, Unit 6P</v>
      </c>
      <c r="B395" s="2" t="str">
        <f t="shared" si="57"/>
        <v>Steiner East Village</v>
      </c>
      <c r="C395" s="1" t="s">
        <v>52</v>
      </c>
      <c r="D395" s="1" t="s">
        <v>41</v>
      </c>
      <c r="E395" s="3">
        <v>3034086</v>
      </c>
      <c r="F395" s="1">
        <v>2394.7008681925799</v>
      </c>
      <c r="G395" s="1">
        <v>4</v>
      </c>
      <c r="H395" s="1">
        <v>2</v>
      </c>
      <c r="I395" s="1">
        <v>3</v>
      </c>
      <c r="J395" s="1">
        <v>2.5</v>
      </c>
      <c r="K395" s="1">
        <v>2</v>
      </c>
      <c r="L395" s="1">
        <v>1</v>
      </c>
      <c r="M395" s="4">
        <v>1267</v>
      </c>
      <c r="N395" s="1">
        <v>1331</v>
      </c>
      <c r="O395" s="1">
        <v>3136</v>
      </c>
      <c r="P395" s="1">
        <v>1805</v>
      </c>
      <c r="Q395" s="1" t="s">
        <v>42</v>
      </c>
      <c r="S395" s="1" t="s">
        <v>42</v>
      </c>
      <c r="T395" s="1" t="s">
        <v>153</v>
      </c>
      <c r="V395" s="5">
        <v>43650</v>
      </c>
      <c r="W395" s="5">
        <v>42476</v>
      </c>
      <c r="X395" s="1">
        <v>2945000</v>
      </c>
      <c r="Y395" s="1">
        <v>2945000</v>
      </c>
      <c r="Z395" s="5">
        <v>42476</v>
      </c>
      <c r="AA395" s="1">
        <v>3034086</v>
      </c>
      <c r="AB395" s="1" t="s">
        <v>301</v>
      </c>
      <c r="AC395" s="5">
        <v>43181</v>
      </c>
      <c r="AF395" s="1">
        <v>10009</v>
      </c>
      <c r="AI395" s="1" t="s">
        <v>71</v>
      </c>
      <c r="AJ395" s="1">
        <v>2017</v>
      </c>
      <c r="AK395" s="1" t="s">
        <v>49</v>
      </c>
      <c r="AL395" s="1">
        <v>82</v>
      </c>
    </row>
    <row r="396" spans="1:38" x14ac:dyDescent="0.2">
      <c r="A396" s="2" t="str">
        <f>HYPERLINK("https://www.compass.com/listing/438-east-12th-street-unit-3d-manhattan-ny-10009/29361649072734241/","438 E 12th St, Unit 3D")</f>
        <v>438 E 12th St, Unit 3D</v>
      </c>
      <c r="B396" s="2" t="str">
        <f t="shared" si="57"/>
        <v>Steiner East Village</v>
      </c>
      <c r="C396" s="1" t="s">
        <v>52</v>
      </c>
      <c r="D396" s="1" t="s">
        <v>41</v>
      </c>
      <c r="E396" s="3">
        <v>2214694</v>
      </c>
      <c r="F396" s="1">
        <v>1750.74624505928</v>
      </c>
      <c r="G396" s="1">
        <v>4</v>
      </c>
      <c r="H396" s="1">
        <v>2</v>
      </c>
      <c r="I396" s="1">
        <v>3</v>
      </c>
      <c r="J396" s="1">
        <v>2.5</v>
      </c>
      <c r="M396" s="4">
        <v>1265</v>
      </c>
      <c r="N396" s="1">
        <v>1322</v>
      </c>
      <c r="O396" s="1">
        <v>3114</v>
      </c>
      <c r="P396" s="1">
        <v>1792</v>
      </c>
      <c r="Q396" s="1" t="s">
        <v>42</v>
      </c>
      <c r="S396" s="1" t="s">
        <v>42</v>
      </c>
      <c r="T396" s="1" t="s">
        <v>153</v>
      </c>
      <c r="V396" s="5">
        <v>43641</v>
      </c>
      <c r="W396" s="5">
        <v>42704</v>
      </c>
      <c r="X396" s="1">
        <v>2175000</v>
      </c>
      <c r="Y396" s="1">
        <v>2175000</v>
      </c>
      <c r="Z396" s="5">
        <v>42704</v>
      </c>
      <c r="AA396" s="1">
        <v>2214694</v>
      </c>
      <c r="AB396" s="1" t="s">
        <v>302</v>
      </c>
      <c r="AC396" s="5">
        <v>43154</v>
      </c>
      <c r="AF396" s="1">
        <v>10009</v>
      </c>
      <c r="AI396" s="1" t="s">
        <v>71</v>
      </c>
      <c r="AJ396" s="1">
        <v>2017</v>
      </c>
      <c r="AK396" s="1" t="s">
        <v>49</v>
      </c>
      <c r="AL396" s="1">
        <v>82</v>
      </c>
    </row>
    <row r="397" spans="1:38" x14ac:dyDescent="0.2">
      <c r="A397" s="2" t="str">
        <f>HYPERLINK("https://www.compass.com/listing/438-east-12th-street-unit-4b-manhattan-ny-10009/29361654709969489/","438 E 12th St, Unit 4B")</f>
        <v>438 E 12th St, Unit 4B</v>
      </c>
      <c r="B397" s="2" t="str">
        <f t="shared" si="57"/>
        <v>Steiner East Village</v>
      </c>
      <c r="C397" s="1" t="s">
        <v>52</v>
      </c>
      <c r="D397" s="1" t="s">
        <v>41</v>
      </c>
      <c r="E397" s="3">
        <v>2235059</v>
      </c>
      <c r="F397" s="1">
        <v>2046.75732600732</v>
      </c>
      <c r="G397" s="1">
        <v>4</v>
      </c>
      <c r="H397" s="1">
        <v>2</v>
      </c>
      <c r="I397" s="1">
        <v>3</v>
      </c>
      <c r="J397" s="1">
        <v>2.5</v>
      </c>
      <c r="M397" s="4">
        <v>1092</v>
      </c>
      <c r="N397" s="1">
        <v>1141</v>
      </c>
      <c r="O397" s="1">
        <v>2688</v>
      </c>
      <c r="P397" s="1">
        <v>1547</v>
      </c>
      <c r="Q397" s="1" t="s">
        <v>42</v>
      </c>
      <c r="S397" s="1" t="s">
        <v>42</v>
      </c>
      <c r="T397" s="1" t="s">
        <v>153</v>
      </c>
      <c r="U397" s="1">
        <v>47</v>
      </c>
      <c r="V397" s="5">
        <v>43694</v>
      </c>
      <c r="W397" s="5">
        <v>42748</v>
      </c>
      <c r="X397" s="1">
        <v>2195000</v>
      </c>
      <c r="Y397" s="1">
        <v>2195000</v>
      </c>
      <c r="Z397" s="5">
        <v>42795</v>
      </c>
      <c r="AA397" s="1">
        <v>2235059</v>
      </c>
      <c r="AB397" s="1" t="s">
        <v>303</v>
      </c>
      <c r="AC397" s="5">
        <v>43134</v>
      </c>
      <c r="AF397" s="1">
        <v>10009</v>
      </c>
      <c r="AI397" s="1" t="s">
        <v>71</v>
      </c>
      <c r="AJ397" s="1">
        <v>2017</v>
      </c>
      <c r="AK397" s="1" t="s">
        <v>49</v>
      </c>
      <c r="AL397" s="1">
        <v>82</v>
      </c>
    </row>
    <row r="398" spans="1:38" x14ac:dyDescent="0.2">
      <c r="A398" s="2" t="str">
        <f>HYPERLINK("https://www.compass.com/listing/438-east-12th-street-unit-4r-manhattan-ny-10009/29361660707862657/","438 E 12th St, Unit 4R")</f>
        <v>438 E 12th St, Unit 4R</v>
      </c>
      <c r="B398" s="2" t="str">
        <f t="shared" si="57"/>
        <v>Steiner East Village</v>
      </c>
      <c r="C398" s="1" t="s">
        <v>52</v>
      </c>
      <c r="D398" s="1" t="s">
        <v>41</v>
      </c>
      <c r="E398" s="3">
        <v>2336884</v>
      </c>
      <c r="F398" s="1">
        <v>1963.76806722689</v>
      </c>
      <c r="G398" s="1">
        <v>4</v>
      </c>
      <c r="H398" s="1">
        <v>2</v>
      </c>
      <c r="I398" s="1">
        <v>3</v>
      </c>
      <c r="J398" s="1">
        <v>3</v>
      </c>
      <c r="K398" s="1">
        <v>3</v>
      </c>
      <c r="M398" s="4">
        <v>1190</v>
      </c>
      <c r="N398" s="1">
        <v>1251</v>
      </c>
      <c r="O398" s="1">
        <v>2946</v>
      </c>
      <c r="P398" s="1">
        <v>1695</v>
      </c>
      <c r="Q398" s="1" t="s">
        <v>42</v>
      </c>
      <c r="S398" s="1" t="s">
        <v>42</v>
      </c>
      <c r="T398" s="1" t="s">
        <v>153</v>
      </c>
      <c r="V398" s="5">
        <v>44342</v>
      </c>
      <c r="W398" s="5">
        <v>42734</v>
      </c>
      <c r="X398" s="1">
        <v>2295000</v>
      </c>
      <c r="Y398" s="1">
        <v>2295000</v>
      </c>
      <c r="Z398" s="5">
        <v>42734</v>
      </c>
      <c r="AA398" s="1">
        <v>2336884</v>
      </c>
      <c r="AB398" s="1" t="s">
        <v>304</v>
      </c>
      <c r="AC398" s="5">
        <v>43131</v>
      </c>
      <c r="AF398" s="1">
        <v>10009</v>
      </c>
      <c r="AI398" s="1" t="s">
        <v>71</v>
      </c>
      <c r="AJ398" s="1">
        <v>2017</v>
      </c>
      <c r="AK398" s="1" t="s">
        <v>49</v>
      </c>
      <c r="AL398" s="1">
        <v>82</v>
      </c>
    </row>
    <row r="399" spans="1:38" x14ac:dyDescent="0.2">
      <c r="A399" s="2" t="str">
        <f>HYPERLINK("https://www.compass.com/listing/438-east-12th-street-unit-5f-manhattan-ny-10009/29361664440793457/","438 E 12th St, Unit 5F")</f>
        <v>438 E 12th St, Unit 5F</v>
      </c>
      <c r="B399" s="2" t="str">
        <f t="shared" si="57"/>
        <v>Steiner East Village</v>
      </c>
      <c r="C399" s="1" t="s">
        <v>52</v>
      </c>
      <c r="D399" s="1" t="s">
        <v>41</v>
      </c>
      <c r="E399" s="3">
        <v>2395000</v>
      </c>
      <c r="F399" s="1">
        <v>2015.9932659932599</v>
      </c>
      <c r="G399" s="1">
        <v>4</v>
      </c>
      <c r="H399" s="1">
        <v>2</v>
      </c>
      <c r="I399" s="1">
        <v>3</v>
      </c>
      <c r="J399" s="1">
        <v>2.5</v>
      </c>
      <c r="M399" s="4">
        <v>1188</v>
      </c>
      <c r="N399" s="1">
        <v>1249</v>
      </c>
      <c r="O399" s="1">
        <v>2942</v>
      </c>
      <c r="P399" s="1">
        <v>1693</v>
      </c>
      <c r="Q399" s="1" t="s">
        <v>42</v>
      </c>
      <c r="S399" s="1" t="s">
        <v>42</v>
      </c>
      <c r="T399" s="1" t="s">
        <v>153</v>
      </c>
      <c r="U399" s="1">
        <v>39</v>
      </c>
      <c r="V399" s="5">
        <v>43677</v>
      </c>
      <c r="W399" s="5">
        <v>42504</v>
      </c>
      <c r="X399" s="1">
        <v>2395000</v>
      </c>
      <c r="Y399" s="1">
        <v>2395000</v>
      </c>
      <c r="Z399" s="5">
        <v>42543</v>
      </c>
      <c r="AA399" s="1">
        <v>2395000</v>
      </c>
      <c r="AB399" s="1" t="s">
        <v>305</v>
      </c>
      <c r="AC399" s="5">
        <v>43153</v>
      </c>
      <c r="AF399" s="1">
        <v>10009</v>
      </c>
      <c r="AI399" s="1" t="s">
        <v>71</v>
      </c>
      <c r="AJ399" s="1">
        <v>2017</v>
      </c>
      <c r="AK399" s="1" t="s">
        <v>49</v>
      </c>
      <c r="AL399" s="1">
        <v>82</v>
      </c>
    </row>
    <row r="400" spans="1:38" x14ac:dyDescent="0.2">
      <c r="A400" s="2" t="str">
        <f>HYPERLINK("https://www.compass.com/listing/438-east-12th-street-unit-5k-manhattan-ny-10009/29361665287913857/","438 E 12th St, Unit 5K")</f>
        <v>438 E 12th St, Unit 5K</v>
      </c>
      <c r="B400" s="2" t="str">
        <f t="shared" si="57"/>
        <v>Steiner East Village</v>
      </c>
      <c r="C400" s="1" t="s">
        <v>52</v>
      </c>
      <c r="D400" s="1" t="s">
        <v>41</v>
      </c>
      <c r="E400" s="3">
        <v>2708545</v>
      </c>
      <c r="F400" s="1">
        <v>2154.7692919649899</v>
      </c>
      <c r="G400" s="1">
        <v>4</v>
      </c>
      <c r="H400" s="1">
        <v>2</v>
      </c>
      <c r="I400" s="1">
        <v>3</v>
      </c>
      <c r="J400" s="1">
        <v>3</v>
      </c>
      <c r="K400" s="1">
        <v>3</v>
      </c>
      <c r="M400" s="4">
        <v>1257</v>
      </c>
      <c r="N400" s="1">
        <v>1314</v>
      </c>
      <c r="O400" s="1">
        <v>3094</v>
      </c>
      <c r="P400" s="1">
        <v>1780</v>
      </c>
      <c r="Q400" s="1" t="s">
        <v>42</v>
      </c>
      <c r="S400" s="1" t="s">
        <v>42</v>
      </c>
      <c r="T400" s="1" t="s">
        <v>153</v>
      </c>
      <c r="V400" s="5">
        <v>44225</v>
      </c>
      <c r="W400" s="5">
        <v>42748</v>
      </c>
      <c r="X400" s="1">
        <v>2645000</v>
      </c>
      <c r="Y400" s="1">
        <v>2645000</v>
      </c>
      <c r="Z400" s="5">
        <v>42748</v>
      </c>
      <c r="AA400" s="1">
        <v>2708545</v>
      </c>
      <c r="AB400" s="1" t="s">
        <v>306</v>
      </c>
      <c r="AC400" s="5">
        <v>43139</v>
      </c>
      <c r="AF400" s="1">
        <v>10009</v>
      </c>
      <c r="AI400" s="1" t="s">
        <v>307</v>
      </c>
      <c r="AJ400" s="1">
        <v>2017</v>
      </c>
      <c r="AK400" s="1" t="s">
        <v>49</v>
      </c>
      <c r="AL400" s="1">
        <v>82</v>
      </c>
    </row>
    <row r="401" spans="1:38" x14ac:dyDescent="0.2">
      <c r="A401" s="2" t="str">
        <f>HYPERLINK("https://www.compass.com/listing/438-east-12th-street-unit-6c-manhattan-ny-10009/29361668265998785/","438 E 12th St, Unit 6C")</f>
        <v>438 E 12th St, Unit 6C</v>
      </c>
      <c r="B401" s="2" t="str">
        <f t="shared" si="57"/>
        <v>Steiner East Village</v>
      </c>
      <c r="C401" s="1" t="s">
        <v>52</v>
      </c>
      <c r="D401" s="1" t="s">
        <v>41</v>
      </c>
      <c r="E401" s="3">
        <v>2548041</v>
      </c>
      <c r="F401" s="1">
        <v>2086.8476658476602</v>
      </c>
      <c r="G401" s="1">
        <v>4</v>
      </c>
      <c r="H401" s="1">
        <v>2</v>
      </c>
      <c r="I401" s="1">
        <v>3</v>
      </c>
      <c r="J401" s="1">
        <v>2.5</v>
      </c>
      <c r="K401" s="1">
        <v>2</v>
      </c>
      <c r="L401" s="1">
        <v>1</v>
      </c>
      <c r="M401" s="4">
        <v>1221</v>
      </c>
      <c r="N401" s="1">
        <v>1280</v>
      </c>
      <c r="O401" s="1">
        <v>3015</v>
      </c>
      <c r="P401" s="1">
        <v>1735</v>
      </c>
      <c r="Q401" s="1" t="s">
        <v>42</v>
      </c>
      <c r="S401" s="1" t="s">
        <v>42</v>
      </c>
      <c r="T401" s="1" t="s">
        <v>153</v>
      </c>
      <c r="V401" s="5">
        <v>43641</v>
      </c>
      <c r="W401" s="5">
        <v>43047</v>
      </c>
      <c r="X401" s="1">
        <v>2525000</v>
      </c>
      <c r="Y401" s="1">
        <v>2525000</v>
      </c>
      <c r="Z401" s="5">
        <v>43047</v>
      </c>
      <c r="AA401" s="1">
        <v>2548041</v>
      </c>
      <c r="AB401" s="1" t="s">
        <v>308</v>
      </c>
      <c r="AC401" s="5">
        <v>43194</v>
      </c>
      <c r="AF401" s="1">
        <v>10009</v>
      </c>
      <c r="AI401" s="1" t="s">
        <v>71</v>
      </c>
      <c r="AJ401" s="1">
        <v>2017</v>
      </c>
      <c r="AK401" s="1" t="s">
        <v>49</v>
      </c>
      <c r="AL401" s="1">
        <v>82</v>
      </c>
    </row>
    <row r="402" spans="1:38" x14ac:dyDescent="0.2">
      <c r="A402" s="2" t="str">
        <f>HYPERLINK("https://www.compass.com/listing/438-east-12th-street-unit-6f-manhattan-ny-10009/29361669415109057/","438 E 12th St, Unit 6F")</f>
        <v>438 E 12th St, Unit 6F</v>
      </c>
      <c r="B402" s="2" t="str">
        <f t="shared" si="57"/>
        <v>Steiner East Village</v>
      </c>
      <c r="C402" s="1" t="s">
        <v>52</v>
      </c>
      <c r="D402" s="1" t="s">
        <v>41</v>
      </c>
      <c r="E402" s="3">
        <v>2540534</v>
      </c>
      <c r="F402" s="1">
        <v>2138.4966329966301</v>
      </c>
      <c r="G402" s="1">
        <v>4</v>
      </c>
      <c r="H402" s="1">
        <v>2</v>
      </c>
      <c r="I402" s="1">
        <v>3</v>
      </c>
      <c r="J402" s="1">
        <v>2.5</v>
      </c>
      <c r="K402" s="1">
        <v>2</v>
      </c>
      <c r="L402" s="1">
        <v>1</v>
      </c>
      <c r="M402" s="4">
        <v>1188</v>
      </c>
      <c r="N402" s="1">
        <v>1242</v>
      </c>
      <c r="O402" s="1">
        <v>2925</v>
      </c>
      <c r="P402" s="1">
        <v>1683</v>
      </c>
      <c r="Q402" s="1" t="s">
        <v>42</v>
      </c>
      <c r="S402" s="1" t="s">
        <v>42</v>
      </c>
      <c r="T402" s="1" t="s">
        <v>153</v>
      </c>
      <c r="U402" s="1">
        <v>104</v>
      </c>
      <c r="V402" s="5">
        <v>43649</v>
      </c>
      <c r="W402" s="5">
        <v>42748</v>
      </c>
      <c r="X402" s="1">
        <v>2495000</v>
      </c>
      <c r="Y402" s="1">
        <v>2495000</v>
      </c>
      <c r="Z402" s="5">
        <v>42852</v>
      </c>
      <c r="AA402" s="1">
        <v>2540534</v>
      </c>
      <c r="AB402" s="1" t="s">
        <v>309</v>
      </c>
      <c r="AC402" s="5">
        <v>43168</v>
      </c>
      <c r="AF402" s="1">
        <v>10009</v>
      </c>
      <c r="AI402" s="1" t="s">
        <v>71</v>
      </c>
      <c r="AJ402" s="1">
        <v>2017</v>
      </c>
      <c r="AK402" s="1" t="s">
        <v>49</v>
      </c>
      <c r="AL402" s="1">
        <v>82</v>
      </c>
    </row>
    <row r="403" spans="1:38" x14ac:dyDescent="0.2">
      <c r="A403" s="2" t="str">
        <f>HYPERLINK("https://www.compass.com/listing/438-east-12th-street-unit-4q-manhattan-ny-10009/70924875031648065/","438 E 12th St, Unit 4Q")</f>
        <v>438 E 12th St, Unit 4Q</v>
      </c>
      <c r="B403" s="2" t="str">
        <f t="shared" si="57"/>
        <v>Steiner East Village</v>
      </c>
      <c r="C403" s="1" t="s">
        <v>52</v>
      </c>
      <c r="D403" s="1" t="s">
        <v>41</v>
      </c>
      <c r="E403" s="3">
        <v>2825550</v>
      </c>
      <c r="F403" s="1">
        <v>1963.5510771368999</v>
      </c>
      <c r="G403" s="1">
        <v>4</v>
      </c>
      <c r="H403" s="1">
        <v>2</v>
      </c>
      <c r="I403" s="1">
        <v>3</v>
      </c>
      <c r="J403" s="1">
        <v>2.5</v>
      </c>
      <c r="M403" s="4">
        <v>1439</v>
      </c>
      <c r="N403" s="1">
        <v>1504</v>
      </c>
      <c r="O403" s="1">
        <v>3542</v>
      </c>
      <c r="P403" s="1">
        <v>2038</v>
      </c>
      <c r="Q403" s="1" t="s">
        <v>42</v>
      </c>
      <c r="S403" s="1" t="s">
        <v>42</v>
      </c>
      <c r="T403" s="1" t="s">
        <v>153</v>
      </c>
      <c r="V403" s="5">
        <v>43694</v>
      </c>
      <c r="W403" s="5">
        <v>42906</v>
      </c>
      <c r="X403" s="1">
        <v>2800000</v>
      </c>
      <c r="Y403" s="1">
        <v>2800000</v>
      </c>
      <c r="Z403" s="5">
        <v>42906</v>
      </c>
      <c r="AA403" s="1">
        <v>2825550</v>
      </c>
      <c r="AB403" s="1" t="s">
        <v>310</v>
      </c>
      <c r="AC403" s="5">
        <v>43096</v>
      </c>
      <c r="AF403" s="1">
        <v>10009</v>
      </c>
      <c r="AI403" s="1" t="s">
        <v>71</v>
      </c>
      <c r="AJ403" s="1">
        <v>2017</v>
      </c>
      <c r="AK403" s="1" t="s">
        <v>49</v>
      </c>
      <c r="AL403" s="1">
        <v>82</v>
      </c>
    </row>
    <row r="404" spans="1:38" x14ac:dyDescent="0.2">
      <c r="A404" s="2" t="str">
        <f>HYPERLINK("https://www.compass.com/listing/438-east-12th-street-unit-3c-manhattan-ny-10009/29361648661782993/","438 E 12th St, Unit 3C")</f>
        <v>438 E 12th St, Unit 3C</v>
      </c>
      <c r="B404" s="2" t="str">
        <f t="shared" si="57"/>
        <v>Steiner East Village</v>
      </c>
      <c r="C404" s="1" t="s">
        <v>52</v>
      </c>
      <c r="D404" s="1" t="s">
        <v>41</v>
      </c>
      <c r="E404" s="3">
        <v>2291063</v>
      </c>
      <c r="F404" s="1">
        <v>1876.3824733824699</v>
      </c>
      <c r="G404" s="1">
        <v>4</v>
      </c>
      <c r="H404" s="1">
        <v>2</v>
      </c>
      <c r="I404" s="1">
        <v>3</v>
      </c>
      <c r="J404" s="1">
        <v>2.5</v>
      </c>
      <c r="K404" s="1">
        <v>2</v>
      </c>
      <c r="L404" s="1">
        <v>1</v>
      </c>
      <c r="M404" s="4">
        <v>1221</v>
      </c>
      <c r="N404" s="1">
        <v>1276</v>
      </c>
      <c r="O404" s="1">
        <v>3005</v>
      </c>
      <c r="P404" s="1">
        <v>1729</v>
      </c>
      <c r="Q404" s="1" t="s">
        <v>42</v>
      </c>
      <c r="S404" s="1" t="s">
        <v>42</v>
      </c>
      <c r="T404" s="1" t="s">
        <v>153</v>
      </c>
      <c r="U404" s="1">
        <v>84</v>
      </c>
      <c r="V404" s="5">
        <v>43647</v>
      </c>
      <c r="W404" s="5">
        <v>43076</v>
      </c>
      <c r="X404" s="1">
        <v>2250000</v>
      </c>
      <c r="Y404" s="1">
        <v>2250000</v>
      </c>
      <c r="Z404" s="5">
        <v>43160</v>
      </c>
      <c r="AA404" s="1">
        <v>2291063</v>
      </c>
      <c r="AB404" s="1" t="s">
        <v>311</v>
      </c>
      <c r="AC404" s="5">
        <v>43207</v>
      </c>
      <c r="AF404" s="1">
        <v>10009</v>
      </c>
      <c r="AI404" s="1" t="s">
        <v>71</v>
      </c>
      <c r="AJ404" s="1">
        <v>2017</v>
      </c>
      <c r="AK404" s="1" t="s">
        <v>49</v>
      </c>
      <c r="AL404" s="1">
        <v>82</v>
      </c>
    </row>
    <row r="405" spans="1:38" x14ac:dyDescent="0.2">
      <c r="A405" s="2" t="str">
        <f>HYPERLINK("https://www.compass.com/listing/438-east-12th-street-unit-3q-manhattan-ny-10009/29361652210164225/","438 E 12th St, Unit 3Q")</f>
        <v>438 E 12th St, Unit 3Q</v>
      </c>
      <c r="B405" s="2" t="str">
        <f t="shared" si="57"/>
        <v>Steiner East Village</v>
      </c>
      <c r="C405" s="1" t="s">
        <v>52</v>
      </c>
      <c r="D405" s="1" t="s">
        <v>41</v>
      </c>
      <c r="E405" s="3">
        <v>2825644</v>
      </c>
      <c r="F405" s="1">
        <v>1963.6164002779699</v>
      </c>
      <c r="G405" s="1">
        <v>4</v>
      </c>
      <c r="H405" s="1">
        <v>2</v>
      </c>
      <c r="I405" s="1">
        <v>3</v>
      </c>
      <c r="J405" s="1">
        <v>2.5</v>
      </c>
      <c r="K405" s="1">
        <v>2</v>
      </c>
      <c r="L405" s="1">
        <v>1</v>
      </c>
      <c r="M405" s="4">
        <v>1439</v>
      </c>
      <c r="N405" s="1">
        <v>1504</v>
      </c>
      <c r="O405" s="1">
        <v>3542</v>
      </c>
      <c r="P405" s="1">
        <v>2038</v>
      </c>
      <c r="Q405" s="1" t="s">
        <v>42</v>
      </c>
      <c r="S405" s="1" t="s">
        <v>42</v>
      </c>
      <c r="T405" s="1" t="s">
        <v>153</v>
      </c>
      <c r="U405" s="1">
        <v>114</v>
      </c>
      <c r="V405" s="5">
        <v>44357</v>
      </c>
      <c r="W405" s="5">
        <v>42927</v>
      </c>
      <c r="X405" s="1">
        <v>2775000</v>
      </c>
      <c r="Y405" s="1">
        <v>2775000</v>
      </c>
      <c r="Z405" s="5">
        <v>43041</v>
      </c>
      <c r="AA405" s="1">
        <v>2825644</v>
      </c>
      <c r="AB405" s="1" t="s">
        <v>312</v>
      </c>
      <c r="AC405" s="5">
        <v>43140</v>
      </c>
      <c r="AF405" s="1">
        <v>10009</v>
      </c>
      <c r="AI405" s="1" t="s">
        <v>71</v>
      </c>
      <c r="AJ405" s="1">
        <v>2017</v>
      </c>
      <c r="AK405" s="1" t="s">
        <v>49</v>
      </c>
      <c r="AL405" s="1">
        <v>82</v>
      </c>
    </row>
    <row r="406" spans="1:38" x14ac:dyDescent="0.2">
      <c r="A406" s="2" t="str">
        <f>HYPERLINK("https://www.compass.com/listing/438-east-12th-street-unit-3r-manhattan-ny-10009/29361652663058529/","438 E 12th St, Unit 3R")</f>
        <v>438 E 12th St, Unit 3R</v>
      </c>
      <c r="B406" s="2" t="str">
        <f t="shared" si="57"/>
        <v>Steiner East Village</v>
      </c>
      <c r="C406" s="1" t="s">
        <v>52</v>
      </c>
      <c r="D406" s="1" t="s">
        <v>41</v>
      </c>
      <c r="E406" s="3">
        <v>2235059</v>
      </c>
      <c r="F406" s="1">
        <v>1878.2008403361301</v>
      </c>
      <c r="G406" s="1">
        <v>4</v>
      </c>
      <c r="H406" s="1">
        <v>2</v>
      </c>
      <c r="I406" s="1">
        <v>3</v>
      </c>
      <c r="J406" s="1">
        <v>2.5</v>
      </c>
      <c r="K406" s="1">
        <v>2</v>
      </c>
      <c r="L406" s="1">
        <v>1</v>
      </c>
      <c r="M406" s="4">
        <v>1190</v>
      </c>
      <c r="N406" s="1">
        <v>1244</v>
      </c>
      <c r="O406" s="1">
        <v>2929</v>
      </c>
      <c r="P406" s="1">
        <v>1685</v>
      </c>
      <c r="Q406" s="1" t="s">
        <v>42</v>
      </c>
      <c r="S406" s="1" t="s">
        <v>42</v>
      </c>
      <c r="T406" s="1" t="s">
        <v>153</v>
      </c>
      <c r="U406" s="1">
        <v>98</v>
      </c>
      <c r="V406" s="5">
        <v>43641</v>
      </c>
      <c r="W406" s="5">
        <v>42858</v>
      </c>
      <c r="X406" s="1">
        <v>2195000</v>
      </c>
      <c r="Y406" s="1">
        <v>2195000</v>
      </c>
      <c r="Z406" s="5">
        <v>42956</v>
      </c>
      <c r="AA406" s="1">
        <v>2235059</v>
      </c>
      <c r="AB406" s="1" t="s">
        <v>313</v>
      </c>
      <c r="AC406" s="5">
        <v>43146</v>
      </c>
      <c r="AF406" s="1">
        <v>10009</v>
      </c>
      <c r="AI406" s="1" t="s">
        <v>71</v>
      </c>
      <c r="AJ406" s="1">
        <v>2017</v>
      </c>
      <c r="AK406" s="1" t="s">
        <v>49</v>
      </c>
      <c r="AL406" s="1">
        <v>82</v>
      </c>
    </row>
    <row r="407" spans="1:38" x14ac:dyDescent="0.2">
      <c r="A407" s="2" t="str">
        <f>HYPERLINK("https://www.compass.com/listing/438-east-12th-street-unit-4c-manhattan-ny-10009/29361655271915713/","438 E 12th St, Unit 4C")</f>
        <v>438 E 12th St, Unit 4C</v>
      </c>
      <c r="B407" s="2" t="str">
        <f t="shared" si="57"/>
        <v>Steiner East Village</v>
      </c>
      <c r="C407" s="1" t="s">
        <v>52</v>
      </c>
      <c r="D407" s="1" t="s">
        <v>41</v>
      </c>
      <c r="E407" s="3">
        <v>2315942</v>
      </c>
      <c r="F407" s="1">
        <v>1896.7583947583901</v>
      </c>
      <c r="G407" s="1">
        <v>4</v>
      </c>
      <c r="H407" s="1">
        <v>2</v>
      </c>
      <c r="I407" s="1">
        <v>3</v>
      </c>
      <c r="J407" s="1">
        <v>2.5</v>
      </c>
      <c r="M407" s="4">
        <v>1221</v>
      </c>
      <c r="N407" s="1">
        <v>1276</v>
      </c>
      <c r="O407" s="1">
        <v>3005</v>
      </c>
      <c r="P407" s="1">
        <v>1729</v>
      </c>
      <c r="Q407" s="1" t="s">
        <v>42</v>
      </c>
      <c r="S407" s="1" t="s">
        <v>42</v>
      </c>
      <c r="T407" s="1" t="s">
        <v>153</v>
      </c>
      <c r="U407" s="1">
        <v>101</v>
      </c>
      <c r="V407" s="5">
        <v>43641</v>
      </c>
      <c r="W407" s="5">
        <v>42969</v>
      </c>
      <c r="X407" s="1">
        <v>2295000</v>
      </c>
      <c r="Y407" s="1">
        <v>2295000</v>
      </c>
      <c r="Z407" s="5">
        <v>43070</v>
      </c>
      <c r="AA407" s="1">
        <v>2315942</v>
      </c>
      <c r="AB407" s="1" t="s">
        <v>314</v>
      </c>
      <c r="AC407" s="5">
        <v>43153</v>
      </c>
      <c r="AF407" s="1">
        <v>10009</v>
      </c>
      <c r="AI407" s="1" t="s">
        <v>71</v>
      </c>
      <c r="AJ407" s="1">
        <v>2017</v>
      </c>
      <c r="AK407" s="1" t="s">
        <v>49</v>
      </c>
      <c r="AL407" s="1">
        <v>82</v>
      </c>
    </row>
    <row r="408" spans="1:38" x14ac:dyDescent="0.2">
      <c r="A408" s="2" t="str">
        <f>HYPERLINK("https://www.compass.com/listing/438-east-12th-street-unit-4d-manhattan-ny-10009/29361655909578369/","438 E 12th St, Unit 4D")</f>
        <v>438 E 12th St, Unit 4D</v>
      </c>
      <c r="B408" s="2" t="str">
        <f t="shared" si="57"/>
        <v>Steiner East Village</v>
      </c>
      <c r="C408" s="1" t="s">
        <v>52</v>
      </c>
      <c r="D408" s="1" t="s">
        <v>41</v>
      </c>
      <c r="E408" s="3">
        <v>2350000</v>
      </c>
      <c r="F408" s="1">
        <v>1857.70750988142</v>
      </c>
      <c r="G408" s="1">
        <v>4</v>
      </c>
      <c r="H408" s="1">
        <v>2</v>
      </c>
      <c r="I408" s="1">
        <v>3</v>
      </c>
      <c r="J408" s="1">
        <v>2.5</v>
      </c>
      <c r="K408" s="1">
        <v>2</v>
      </c>
      <c r="L408" s="1">
        <v>1</v>
      </c>
      <c r="M408" s="4">
        <v>1265</v>
      </c>
      <c r="N408" s="1">
        <v>1322</v>
      </c>
      <c r="O408" s="1">
        <v>3114</v>
      </c>
      <c r="P408" s="1">
        <v>1792</v>
      </c>
      <c r="Q408" s="1" t="s">
        <v>42</v>
      </c>
      <c r="S408" s="1" t="s">
        <v>42</v>
      </c>
      <c r="T408" s="1" t="s">
        <v>153</v>
      </c>
      <c r="V408" s="5">
        <v>43649</v>
      </c>
      <c r="W408" s="5">
        <v>43182</v>
      </c>
      <c r="X408" s="1">
        <v>2350000</v>
      </c>
      <c r="Y408" s="1">
        <v>2350000</v>
      </c>
      <c r="Z408" s="5">
        <v>43182</v>
      </c>
      <c r="AA408" s="1">
        <v>2350000</v>
      </c>
      <c r="AB408" s="1" t="s">
        <v>315</v>
      </c>
      <c r="AC408" s="5">
        <v>43214</v>
      </c>
      <c r="AF408" s="1">
        <v>10009</v>
      </c>
      <c r="AI408" s="1" t="s">
        <v>71</v>
      </c>
      <c r="AJ408" s="1">
        <v>2017</v>
      </c>
      <c r="AK408" s="1" t="s">
        <v>49</v>
      </c>
      <c r="AL408" s="1">
        <v>82</v>
      </c>
    </row>
    <row r="409" spans="1:38" x14ac:dyDescent="0.2">
      <c r="A409" s="2" t="str">
        <f>HYPERLINK("https://www.compass.com/listing/438-east-12th-street-unit-5b-manhattan-ny-10009/29361662897160513/","438 E 12th St, Unit 5B")</f>
        <v>438 E 12th St, Unit 5B</v>
      </c>
      <c r="B409" s="2" t="str">
        <f t="shared" si="57"/>
        <v>Steiner East Village</v>
      </c>
      <c r="C409" s="1" t="s">
        <v>52</v>
      </c>
      <c r="D409" s="1" t="s">
        <v>41</v>
      </c>
      <c r="E409" s="3">
        <v>2352158</v>
      </c>
      <c r="F409" s="1">
        <v>2153.9908424908399</v>
      </c>
      <c r="G409" s="1">
        <v>4</v>
      </c>
      <c r="H409" s="1">
        <v>2</v>
      </c>
      <c r="I409" s="1">
        <v>3</v>
      </c>
      <c r="J409" s="1">
        <v>2.5</v>
      </c>
      <c r="K409" s="1">
        <v>2</v>
      </c>
      <c r="L409" s="1">
        <v>1</v>
      </c>
      <c r="M409" s="4">
        <v>1092</v>
      </c>
      <c r="N409" s="1">
        <v>1143</v>
      </c>
      <c r="O409" s="1">
        <v>2692</v>
      </c>
      <c r="P409" s="1">
        <v>1549</v>
      </c>
      <c r="Q409" s="1" t="s">
        <v>42</v>
      </c>
      <c r="S409" s="1" t="s">
        <v>42</v>
      </c>
      <c r="T409" s="1" t="s">
        <v>153</v>
      </c>
      <c r="U409" s="1">
        <v>21</v>
      </c>
      <c r="V409" s="5">
        <v>43654</v>
      </c>
      <c r="W409" s="5">
        <v>42927</v>
      </c>
      <c r="X409" s="1">
        <v>2295000</v>
      </c>
      <c r="Y409" s="1">
        <v>2295000</v>
      </c>
      <c r="Z409" s="5">
        <v>42948</v>
      </c>
      <c r="AA409" s="1">
        <v>2352158</v>
      </c>
      <c r="AB409" s="1" t="s">
        <v>316</v>
      </c>
      <c r="AC409" s="5">
        <v>43148</v>
      </c>
      <c r="AF409" s="1">
        <v>10009</v>
      </c>
      <c r="AI409" s="1" t="s">
        <v>71</v>
      </c>
      <c r="AJ409" s="1">
        <v>2017</v>
      </c>
      <c r="AK409" s="1" t="s">
        <v>49</v>
      </c>
      <c r="AL409" s="1">
        <v>82</v>
      </c>
    </row>
    <row r="410" spans="1:38" x14ac:dyDescent="0.2">
      <c r="A410" s="2" t="str">
        <f>HYPERLINK("https://www.compass.com/listing/438-east-12th-street-unit-5c-manhattan-ny-10009/29361663350274385/","438 E 12th St, Unit 5C")</f>
        <v>438 E 12th St, Unit 5C</v>
      </c>
      <c r="B410" s="2" t="str">
        <f t="shared" si="57"/>
        <v>Steiner East Village</v>
      </c>
      <c r="C410" s="1" t="s">
        <v>52</v>
      </c>
      <c r="D410" s="1" t="s">
        <v>41</v>
      </c>
      <c r="E410" s="3">
        <v>2446346</v>
      </c>
      <c r="F410" s="1">
        <v>2008.4942528735601</v>
      </c>
      <c r="G410" s="1">
        <v>4</v>
      </c>
      <c r="H410" s="1">
        <v>2</v>
      </c>
      <c r="I410" s="1">
        <v>3</v>
      </c>
      <c r="J410" s="1">
        <v>2.5</v>
      </c>
      <c r="K410" s="1">
        <v>2</v>
      </c>
      <c r="L410" s="1">
        <v>1</v>
      </c>
      <c r="M410" s="4">
        <v>1218</v>
      </c>
      <c r="N410" s="1">
        <v>1273</v>
      </c>
      <c r="O410" s="1">
        <v>2998</v>
      </c>
      <c r="P410" s="1">
        <v>1725</v>
      </c>
      <c r="Q410" s="1" t="s">
        <v>42</v>
      </c>
      <c r="S410" s="1" t="s">
        <v>42</v>
      </c>
      <c r="T410" s="1" t="s">
        <v>153</v>
      </c>
      <c r="U410" s="1">
        <v>59</v>
      </c>
      <c r="V410" s="5">
        <v>43654</v>
      </c>
      <c r="W410" s="5">
        <v>42906</v>
      </c>
      <c r="X410" s="1">
        <v>2395000</v>
      </c>
      <c r="Y410" s="1">
        <v>2395000</v>
      </c>
      <c r="Z410" s="5">
        <v>42965</v>
      </c>
      <c r="AA410" s="1">
        <v>2446346</v>
      </c>
      <c r="AB410" s="1" t="s">
        <v>317</v>
      </c>
      <c r="AC410" s="5">
        <v>43141</v>
      </c>
      <c r="AF410" s="1">
        <v>10009</v>
      </c>
      <c r="AI410" s="1" t="s">
        <v>71</v>
      </c>
      <c r="AJ410" s="1">
        <v>2017</v>
      </c>
      <c r="AK410" s="1" t="s">
        <v>49</v>
      </c>
      <c r="AL410" s="1">
        <v>82</v>
      </c>
    </row>
    <row r="411" spans="1:38" x14ac:dyDescent="0.2">
      <c r="A411" s="2" t="str">
        <f>HYPERLINK("https://www.compass.com/listing/438-east-12th-street-unit-5g-manhattan-ny-10009/29361664843408129/","438 E 12th St, Unit 5G")</f>
        <v>438 E 12th St, Unit 5G</v>
      </c>
      <c r="B411" s="2" t="str">
        <f t="shared" si="57"/>
        <v>Steiner East Village</v>
      </c>
      <c r="C411" s="1" t="s">
        <v>52</v>
      </c>
      <c r="D411" s="1" t="s">
        <v>41</v>
      </c>
      <c r="E411" s="3">
        <v>2693271</v>
      </c>
      <c r="F411" s="1">
        <v>1983.26288659793</v>
      </c>
      <c r="G411" s="1">
        <v>4</v>
      </c>
      <c r="H411" s="1">
        <v>2</v>
      </c>
      <c r="I411" s="1">
        <v>3</v>
      </c>
      <c r="J411" s="1">
        <v>2.5</v>
      </c>
      <c r="K411" s="1">
        <v>2</v>
      </c>
      <c r="L411" s="1">
        <v>1</v>
      </c>
      <c r="M411" s="4">
        <v>1358</v>
      </c>
      <c r="N411" s="1">
        <v>1419</v>
      </c>
      <c r="O411" s="1">
        <v>3342</v>
      </c>
      <c r="P411" s="1">
        <v>1923</v>
      </c>
      <c r="Q411" s="1" t="s">
        <v>42</v>
      </c>
      <c r="S411" s="1" t="s">
        <v>42</v>
      </c>
      <c r="T411" s="1" t="s">
        <v>153</v>
      </c>
      <c r="U411" s="1">
        <v>123</v>
      </c>
      <c r="V411" s="5">
        <v>44399</v>
      </c>
      <c r="W411" s="5">
        <v>42595</v>
      </c>
      <c r="X411" s="1">
        <v>2645000</v>
      </c>
      <c r="Y411" s="1">
        <v>2645000</v>
      </c>
      <c r="Z411" s="5">
        <v>42718</v>
      </c>
      <c r="AA411" s="1">
        <v>2693271</v>
      </c>
      <c r="AB411" s="1" t="s">
        <v>318</v>
      </c>
      <c r="AC411" s="5">
        <v>43124</v>
      </c>
      <c r="AF411" s="1">
        <v>10009</v>
      </c>
      <c r="AI411" s="1" t="s">
        <v>71</v>
      </c>
      <c r="AJ411" s="1">
        <v>2017</v>
      </c>
      <c r="AK411" s="1" t="s">
        <v>49</v>
      </c>
      <c r="AL411" s="1">
        <v>82</v>
      </c>
    </row>
    <row r="412" spans="1:38" x14ac:dyDescent="0.2">
      <c r="A412" s="2" t="str">
        <f>HYPERLINK("https://www.compass.com/listing/438-east-12th-street-unit-6b-manhattan-ny-10009/29361667838050737/","438 E 12th St, Unit 6B")</f>
        <v>438 E 12th St, Unit 6B</v>
      </c>
      <c r="B412" s="2" t="str">
        <f t="shared" si="57"/>
        <v>Steiner East Village</v>
      </c>
      <c r="C412" s="1" t="s">
        <v>52</v>
      </c>
      <c r="D412" s="1" t="s">
        <v>41</v>
      </c>
      <c r="E412" s="3">
        <v>2445000</v>
      </c>
      <c r="F412" s="1">
        <v>2239.0109890109802</v>
      </c>
      <c r="G412" s="1">
        <v>4</v>
      </c>
      <c r="H412" s="1">
        <v>2</v>
      </c>
      <c r="I412" s="1">
        <v>3</v>
      </c>
      <c r="J412" s="1">
        <v>2.5</v>
      </c>
      <c r="K412" s="1">
        <v>2</v>
      </c>
      <c r="L412" s="1">
        <v>1</v>
      </c>
      <c r="M412" s="4">
        <v>1092</v>
      </c>
      <c r="N412" s="1">
        <v>1143</v>
      </c>
      <c r="O412" s="1">
        <v>2693</v>
      </c>
      <c r="P412" s="1">
        <v>1550</v>
      </c>
      <c r="Q412" s="1" t="s">
        <v>42</v>
      </c>
      <c r="S412" s="1" t="s">
        <v>42</v>
      </c>
      <c r="T412" s="1" t="s">
        <v>153</v>
      </c>
      <c r="U412" s="1">
        <v>60</v>
      </c>
      <c r="V412" s="5">
        <v>43650</v>
      </c>
      <c r="W412" s="5">
        <v>43044</v>
      </c>
      <c r="X412" s="1">
        <v>2445000</v>
      </c>
      <c r="Y412" s="1">
        <v>2445000</v>
      </c>
      <c r="Z412" s="5">
        <v>43104</v>
      </c>
      <c r="AA412" s="1">
        <v>2445000</v>
      </c>
      <c r="AB412" s="1" t="s">
        <v>319</v>
      </c>
      <c r="AC412" s="5">
        <v>43178</v>
      </c>
      <c r="AF412" s="1">
        <v>10009</v>
      </c>
      <c r="AI412" s="1" t="s">
        <v>71</v>
      </c>
      <c r="AJ412" s="1">
        <v>2017</v>
      </c>
      <c r="AK412" s="1" t="s">
        <v>49</v>
      </c>
      <c r="AL412" s="1">
        <v>82</v>
      </c>
    </row>
    <row r="413" spans="1:38" x14ac:dyDescent="0.2">
      <c r="A413" s="2" t="str">
        <f>HYPERLINK("https://www.compass.com/listing/438-east-12th-street-unit-6g-manhattan-ny-10009/29361669876611537/","438 E 12th St, Unit 6G")</f>
        <v>438 E 12th St, Unit 6G</v>
      </c>
      <c r="B413" s="2" t="str">
        <f t="shared" si="57"/>
        <v>Steiner East Village</v>
      </c>
      <c r="C413" s="1" t="s">
        <v>52</v>
      </c>
      <c r="D413" s="1" t="s">
        <v>41</v>
      </c>
      <c r="E413" s="3">
        <v>2820553</v>
      </c>
      <c r="F413" s="1">
        <v>2076.9904270986699</v>
      </c>
      <c r="G413" s="1">
        <v>4</v>
      </c>
      <c r="H413" s="1">
        <v>2</v>
      </c>
      <c r="I413" s="1">
        <v>3</v>
      </c>
      <c r="J413" s="1">
        <v>2.5</v>
      </c>
      <c r="K413" s="1">
        <v>2</v>
      </c>
      <c r="L413" s="1">
        <v>1</v>
      </c>
      <c r="M413" s="4">
        <v>1358</v>
      </c>
      <c r="N413" s="1">
        <v>1419</v>
      </c>
      <c r="O413" s="1">
        <v>3342</v>
      </c>
      <c r="P413" s="1">
        <v>1923</v>
      </c>
      <c r="Q413" s="1" t="s">
        <v>42</v>
      </c>
      <c r="S413" s="1" t="s">
        <v>42</v>
      </c>
      <c r="T413" s="1" t="s">
        <v>153</v>
      </c>
      <c r="U413" s="1">
        <v>97</v>
      </c>
      <c r="V413" s="5">
        <v>43643</v>
      </c>
      <c r="W413" s="5">
        <v>42847</v>
      </c>
      <c r="X413" s="1">
        <v>2770000</v>
      </c>
      <c r="Y413" s="1">
        <v>2770000</v>
      </c>
      <c r="Z413" s="5">
        <v>42944</v>
      </c>
      <c r="AA413" s="1">
        <v>2820553</v>
      </c>
      <c r="AB413" s="1" t="s">
        <v>320</v>
      </c>
      <c r="AC413" s="5">
        <v>43259</v>
      </c>
      <c r="AF413" s="1">
        <v>10009</v>
      </c>
      <c r="AI413" s="1" t="s">
        <v>71</v>
      </c>
      <c r="AJ413" s="1">
        <v>2017</v>
      </c>
      <c r="AK413" s="1" t="s">
        <v>49</v>
      </c>
      <c r="AL413" s="1">
        <v>82</v>
      </c>
    </row>
    <row r="414" spans="1:38" x14ac:dyDescent="0.2">
      <c r="A414" s="2" t="str">
        <f>HYPERLINK("https://www.compass.com/listing/438-east-12th-street-unit-6k-manhattan-ny-10009/29361670790840801/","438 E 12th St, Unit 6K")</f>
        <v>438 E 12th St, Unit 6K</v>
      </c>
      <c r="B414" s="2" t="str">
        <f t="shared" si="57"/>
        <v>Steiner East Village</v>
      </c>
      <c r="C414" s="1" t="s">
        <v>52</v>
      </c>
      <c r="D414" s="1" t="s">
        <v>41</v>
      </c>
      <c r="E414" s="3">
        <v>2795276</v>
      </c>
      <c r="F414" s="1">
        <v>2223.7677008750902</v>
      </c>
      <c r="G414" s="1">
        <v>4</v>
      </c>
      <c r="H414" s="1">
        <v>2</v>
      </c>
      <c r="I414" s="1">
        <v>3</v>
      </c>
      <c r="J414" s="1">
        <v>2.5</v>
      </c>
      <c r="K414" s="1">
        <v>2</v>
      </c>
      <c r="L414" s="1">
        <v>1</v>
      </c>
      <c r="M414" s="4">
        <v>1257</v>
      </c>
      <c r="N414" s="1">
        <v>1314</v>
      </c>
      <c r="O414" s="1">
        <v>3094</v>
      </c>
      <c r="P414" s="1">
        <v>1780</v>
      </c>
      <c r="Q414" s="1" t="s">
        <v>42</v>
      </c>
      <c r="S414" s="1" t="s">
        <v>42</v>
      </c>
      <c r="T414" s="1" t="s">
        <v>153</v>
      </c>
      <c r="V414" s="5">
        <v>43643</v>
      </c>
      <c r="W414" s="5">
        <v>43048</v>
      </c>
      <c r="X414" s="1">
        <v>2770000</v>
      </c>
      <c r="Y414" s="1">
        <v>2770000</v>
      </c>
      <c r="Z414" s="5">
        <v>43048</v>
      </c>
      <c r="AA414" s="1">
        <v>2795276</v>
      </c>
      <c r="AB414" s="1" t="s">
        <v>321</v>
      </c>
      <c r="AC414" s="5">
        <v>43187</v>
      </c>
      <c r="AF414" s="1">
        <v>10009</v>
      </c>
      <c r="AI414" s="1" t="s">
        <v>71</v>
      </c>
      <c r="AJ414" s="1">
        <v>2017</v>
      </c>
      <c r="AK414" s="1" t="s">
        <v>49</v>
      </c>
      <c r="AL414" s="1">
        <v>82</v>
      </c>
    </row>
    <row r="415" spans="1:38" x14ac:dyDescent="0.2">
      <c r="A415" s="2" t="str">
        <f>HYPERLINK("https://www.compass.com/listing/438-east-12th-street-unit-6s-manhattan-ny-10009/29514447055751793/","438 E 12th St, Unit 6S")</f>
        <v>438 E 12th St, Unit 6S</v>
      </c>
      <c r="B415" s="2" t="str">
        <f t="shared" si="57"/>
        <v>Steiner East Village</v>
      </c>
      <c r="C415" s="1" t="s">
        <v>52</v>
      </c>
      <c r="D415" s="1" t="s">
        <v>41</v>
      </c>
      <c r="E415" s="3">
        <v>2568406</v>
      </c>
      <c r="F415" s="1">
        <v>2064.6350482315102</v>
      </c>
      <c r="G415" s="1">
        <v>4</v>
      </c>
      <c r="H415" s="1">
        <v>2</v>
      </c>
      <c r="I415" s="1">
        <v>3</v>
      </c>
      <c r="J415" s="1">
        <v>2.5</v>
      </c>
      <c r="K415" s="1">
        <v>2</v>
      </c>
      <c r="L415" s="1">
        <v>1</v>
      </c>
      <c r="M415" s="4">
        <v>1244</v>
      </c>
      <c r="N415" s="1">
        <v>1300</v>
      </c>
      <c r="O415" s="1">
        <v>3062</v>
      </c>
      <c r="P415" s="1">
        <v>1762</v>
      </c>
      <c r="Q415" s="1" t="s">
        <v>42</v>
      </c>
      <c r="S415" s="1" t="s">
        <v>42</v>
      </c>
      <c r="T415" s="1" t="s">
        <v>153</v>
      </c>
      <c r="V415" s="5">
        <v>43641</v>
      </c>
      <c r="W415" s="5">
        <v>43279</v>
      </c>
      <c r="X415" s="1">
        <v>2525000</v>
      </c>
      <c r="Y415" s="1">
        <v>2525000</v>
      </c>
      <c r="Z415" s="5">
        <v>43279</v>
      </c>
      <c r="AA415" s="1">
        <v>2568406</v>
      </c>
      <c r="AB415" s="1" t="s">
        <v>322</v>
      </c>
      <c r="AC415" s="5">
        <v>43288</v>
      </c>
      <c r="AF415" s="1">
        <v>10009</v>
      </c>
      <c r="AI415" s="1" t="s">
        <v>71</v>
      </c>
      <c r="AJ415" s="1">
        <v>2017</v>
      </c>
      <c r="AK415" s="1" t="s">
        <v>49</v>
      </c>
      <c r="AL415" s="1">
        <v>82</v>
      </c>
    </row>
    <row r="416" spans="1:38" x14ac:dyDescent="0.2">
      <c r="A416" s="2" t="str">
        <f>HYPERLINK("https://www.compass.com/listing/438-east-12th-street-unit-5u-manhattan-ny-10009/29514448934876561/","438 E 12th St, Unit 5U")</f>
        <v>438 E 12th St, Unit 5U</v>
      </c>
      <c r="B416" s="2" t="str">
        <f t="shared" si="57"/>
        <v>Steiner East Village</v>
      </c>
      <c r="C416" s="1" t="s">
        <v>52</v>
      </c>
      <c r="D416" s="1" t="s">
        <v>41</v>
      </c>
      <c r="E416" s="3">
        <v>2469256</v>
      </c>
      <c r="F416" s="1">
        <v>2083.7603375527401</v>
      </c>
      <c r="G416" s="1">
        <v>4</v>
      </c>
      <c r="H416" s="1">
        <v>2</v>
      </c>
      <c r="I416" s="1">
        <v>3</v>
      </c>
      <c r="J416" s="1">
        <v>2.5</v>
      </c>
      <c r="K416" s="1">
        <v>2</v>
      </c>
      <c r="L416" s="1">
        <v>1</v>
      </c>
      <c r="M416" s="4">
        <v>1185</v>
      </c>
      <c r="N416" s="1">
        <v>1239</v>
      </c>
      <c r="O416" s="1">
        <v>2917</v>
      </c>
      <c r="P416" s="1">
        <v>1678</v>
      </c>
      <c r="Q416" s="1" t="s">
        <v>42</v>
      </c>
      <c r="S416" s="1" t="s">
        <v>42</v>
      </c>
      <c r="T416" s="1" t="s">
        <v>153</v>
      </c>
      <c r="U416" s="1">
        <v>28</v>
      </c>
      <c r="V416" s="5">
        <v>43638</v>
      </c>
      <c r="W416" s="5">
        <v>43244</v>
      </c>
      <c r="X416" s="1">
        <v>2425000</v>
      </c>
      <c r="Y416" s="1">
        <v>2425000</v>
      </c>
      <c r="Z416" s="5">
        <v>43272</v>
      </c>
      <c r="AA416" s="1">
        <v>2469256</v>
      </c>
      <c r="AB416" s="1" t="s">
        <v>323</v>
      </c>
      <c r="AC416" s="5">
        <v>43300</v>
      </c>
      <c r="AF416" s="1">
        <v>10009</v>
      </c>
      <c r="AI416" s="1" t="s">
        <v>71</v>
      </c>
      <c r="AJ416" s="1">
        <v>2017</v>
      </c>
      <c r="AK416" s="1" t="s">
        <v>49</v>
      </c>
      <c r="AL416" s="1">
        <v>82</v>
      </c>
    </row>
    <row r="417" spans="1:38" x14ac:dyDescent="0.2">
      <c r="A417" s="2" t="str">
        <f>HYPERLINK("https://www.compass.com/listing/438-east-12th-street-unit-3b-manhattan-ny-10009/29514450151224753/","438 E 12th St, Unit 3B")</f>
        <v>438 E 12th St, Unit 3B</v>
      </c>
      <c r="B417" s="2" t="str">
        <f t="shared" si="57"/>
        <v>Steiner East Village</v>
      </c>
      <c r="C417" s="1" t="s">
        <v>52</v>
      </c>
      <c r="D417" s="1" t="s">
        <v>41</v>
      </c>
      <c r="E417" s="3">
        <v>2235059</v>
      </c>
      <c r="F417" s="1">
        <v>2046.75732600732</v>
      </c>
      <c r="G417" s="1">
        <v>4</v>
      </c>
      <c r="H417" s="1">
        <v>2</v>
      </c>
      <c r="I417" s="1">
        <v>3</v>
      </c>
      <c r="J417" s="1">
        <v>2.5</v>
      </c>
      <c r="K417" s="1">
        <v>2</v>
      </c>
      <c r="L417" s="1">
        <v>1</v>
      </c>
      <c r="M417" s="4">
        <v>1092</v>
      </c>
      <c r="N417" s="1">
        <v>1141</v>
      </c>
      <c r="O417" s="1">
        <v>2688</v>
      </c>
      <c r="P417" s="1">
        <v>1547</v>
      </c>
      <c r="Q417" s="1" t="s">
        <v>42</v>
      </c>
      <c r="S417" s="1" t="s">
        <v>42</v>
      </c>
      <c r="T417" s="1" t="s">
        <v>153</v>
      </c>
      <c r="U417" s="1">
        <v>93</v>
      </c>
      <c r="V417" s="5">
        <v>43675</v>
      </c>
      <c r="W417" s="5">
        <v>43158</v>
      </c>
      <c r="X417" s="1">
        <v>2195000</v>
      </c>
      <c r="Y417" s="1">
        <v>2195000</v>
      </c>
      <c r="Z417" s="5">
        <v>43251</v>
      </c>
      <c r="AA417" s="1">
        <v>2235059</v>
      </c>
      <c r="AB417" s="1" t="s">
        <v>324</v>
      </c>
      <c r="AC417" s="5">
        <v>43482</v>
      </c>
      <c r="AF417" s="1">
        <v>10009</v>
      </c>
      <c r="AI417" s="1" t="s">
        <v>71</v>
      </c>
      <c r="AJ417" s="1">
        <v>2017</v>
      </c>
      <c r="AK417" s="1" t="s">
        <v>49</v>
      </c>
      <c r="AL417" s="1">
        <v>82</v>
      </c>
    </row>
    <row r="418" spans="1:38" x14ac:dyDescent="0.2">
      <c r="A418" s="2" t="str">
        <f>HYPERLINK("https://www.compass.com/listing/438-east-12th-street-unit-5s-manhattan-ny-10009/29669342920594081/","438 E 12th St, Unit 5S")</f>
        <v>438 E 12th St, Unit 5S</v>
      </c>
      <c r="B418" s="2" t="str">
        <f t="shared" si="57"/>
        <v>Steiner East Village</v>
      </c>
      <c r="C418" s="1" t="s">
        <v>52</v>
      </c>
      <c r="D418" s="1" t="s">
        <v>41</v>
      </c>
      <c r="E418" s="3">
        <v>2483535</v>
      </c>
      <c r="F418" s="1">
        <v>1996.41077170418</v>
      </c>
      <c r="G418" s="1">
        <v>5</v>
      </c>
      <c r="H418" s="1">
        <v>2</v>
      </c>
      <c r="I418" s="1">
        <v>3</v>
      </c>
      <c r="J418" s="1">
        <v>2.5</v>
      </c>
      <c r="K418" s="1">
        <v>2</v>
      </c>
      <c r="L418" s="1">
        <v>1</v>
      </c>
      <c r="M418" s="4">
        <v>1244</v>
      </c>
      <c r="N418" s="1">
        <v>1300</v>
      </c>
      <c r="O418" s="1">
        <v>3062</v>
      </c>
      <c r="P418" s="1">
        <v>1762</v>
      </c>
      <c r="Q418" s="1" t="s">
        <v>42</v>
      </c>
      <c r="S418" s="1" t="s">
        <v>42</v>
      </c>
      <c r="T418" s="1" t="s">
        <v>153</v>
      </c>
      <c r="U418" s="1">
        <v>154</v>
      </c>
      <c r="V418" s="5">
        <v>43643</v>
      </c>
      <c r="W418" s="5">
        <v>43139</v>
      </c>
      <c r="X418" s="1">
        <v>2450000</v>
      </c>
      <c r="Y418" s="1">
        <v>2450000</v>
      </c>
      <c r="Z418" s="5">
        <v>43293</v>
      </c>
      <c r="AA418" s="1">
        <v>2483535</v>
      </c>
      <c r="AB418" s="1" t="s">
        <v>325</v>
      </c>
      <c r="AC418" s="5">
        <v>43323</v>
      </c>
      <c r="AF418" s="1">
        <v>10009</v>
      </c>
      <c r="AI418" s="1" t="s">
        <v>71</v>
      </c>
      <c r="AJ418" s="1">
        <v>2017</v>
      </c>
      <c r="AK418" s="1" t="s">
        <v>49</v>
      </c>
      <c r="AL418" s="1">
        <v>82</v>
      </c>
    </row>
    <row r="419" spans="1:38" x14ac:dyDescent="0.2">
      <c r="A419" s="2" t="str">
        <f>HYPERLINK("https://www.compass.com/listing/71-reade-street-unit-5b-manhattan-ny-10007/4852322921953107713/","71 Reade St, Unit 5B")</f>
        <v>71 Reade St, Unit 5B</v>
      </c>
      <c r="B419" s="2" t="str">
        <f>HYPERLINK("https://www.compass.com/building/reade-chambers-manhattan-ny/281897219919982101/","Reade Chambers")</f>
        <v>Reade Chambers</v>
      </c>
      <c r="C419" s="1" t="s">
        <v>65</v>
      </c>
      <c r="D419" s="1" t="s">
        <v>41</v>
      </c>
      <c r="E419" s="3">
        <v>4595000</v>
      </c>
      <c r="F419" s="1">
        <v>1805.50098231827</v>
      </c>
      <c r="G419" s="1">
        <v>5</v>
      </c>
      <c r="H419" s="1">
        <v>3</v>
      </c>
      <c r="I419" s="1">
        <v>4</v>
      </c>
      <c r="J419" s="1">
        <v>3.5</v>
      </c>
      <c r="M419" s="4">
        <v>2545</v>
      </c>
      <c r="N419" s="1">
        <v>4642</v>
      </c>
      <c r="O419" s="1">
        <v>6263</v>
      </c>
      <c r="P419" s="1">
        <v>1621</v>
      </c>
      <c r="Q419" s="1" t="s">
        <v>42</v>
      </c>
      <c r="S419" s="1" t="s">
        <v>42</v>
      </c>
      <c r="T419" s="1" t="s">
        <v>153</v>
      </c>
      <c r="V419" s="5">
        <v>43651</v>
      </c>
      <c r="W419" s="5">
        <v>41976</v>
      </c>
      <c r="X419" s="1">
        <v>4595000</v>
      </c>
      <c r="Y419" s="1">
        <v>4595000</v>
      </c>
      <c r="Z419" s="5">
        <v>41976</v>
      </c>
      <c r="AA419" s="1">
        <v>4595000</v>
      </c>
      <c r="AB419" s="1" t="s">
        <v>177</v>
      </c>
      <c r="AC419" s="5">
        <v>42230</v>
      </c>
      <c r="AF419" s="1">
        <v>10007</v>
      </c>
      <c r="AI419" s="1" t="s">
        <v>53</v>
      </c>
      <c r="AJ419" s="1">
        <v>2015</v>
      </c>
      <c r="AK419" s="1" t="s">
        <v>99</v>
      </c>
      <c r="AL419" s="1">
        <v>18</v>
      </c>
    </row>
    <row r="420" spans="1:38" x14ac:dyDescent="0.2">
      <c r="A420" s="2" t="str">
        <f>HYPERLINK("https://www.compass.com/listing/2-park-place-unit-44a-manhattan-ny-10007/11638918436916929/","2 Park Pl, Unit 44A")</f>
        <v>2 Park Pl, Unit 44A</v>
      </c>
      <c r="B420" s="2" t="str">
        <f>HYPERLINK("https://www.compass.com/building/the-woolworth-tower-residences-manhattan-ny/294842395015266853/","The Woolworth Tower Residences")</f>
        <v>The Woolworth Tower Residences</v>
      </c>
      <c r="C420" s="1" t="s">
        <v>65</v>
      </c>
      <c r="D420" s="1" t="s">
        <v>41</v>
      </c>
      <c r="E420" s="3">
        <v>7142600</v>
      </c>
      <c r="F420" s="1">
        <v>2945.4020618556701</v>
      </c>
      <c r="G420" s="1">
        <v>5</v>
      </c>
      <c r="H420" s="1">
        <v>2</v>
      </c>
      <c r="I420" s="1">
        <v>3</v>
      </c>
      <c r="J420" s="1">
        <v>2.5</v>
      </c>
      <c r="K420" s="1">
        <v>2</v>
      </c>
      <c r="L420" s="1">
        <v>1</v>
      </c>
      <c r="M420" s="4">
        <v>2425</v>
      </c>
      <c r="N420" s="1">
        <v>3667</v>
      </c>
      <c r="O420" s="1">
        <v>7097</v>
      </c>
      <c r="P420" s="1">
        <v>3430</v>
      </c>
      <c r="Q420" s="1" t="s">
        <v>42</v>
      </c>
      <c r="S420" s="1" t="s">
        <v>42</v>
      </c>
      <c r="T420" s="1" t="s">
        <v>153</v>
      </c>
      <c r="V420" s="5">
        <v>43645</v>
      </c>
      <c r="W420" s="5">
        <v>43336</v>
      </c>
      <c r="X420" s="1">
        <v>8800000</v>
      </c>
      <c r="Y420" s="1">
        <v>8800000</v>
      </c>
      <c r="Z420" s="5">
        <v>43336</v>
      </c>
      <c r="AA420" s="1">
        <v>7142600</v>
      </c>
      <c r="AB420" s="1" t="s">
        <v>326</v>
      </c>
      <c r="AC420" s="5">
        <v>43395</v>
      </c>
      <c r="AF420" s="1">
        <v>10007</v>
      </c>
      <c r="AJ420" s="1">
        <v>1913</v>
      </c>
      <c r="AK420" s="1" t="s">
        <v>46</v>
      </c>
      <c r="AL420" s="1">
        <v>32</v>
      </c>
    </row>
    <row r="421" spans="1:38" x14ac:dyDescent="0.2">
      <c r="A421" s="2" t="str">
        <f>HYPERLINK("https://www.compass.com/listing/71-reade-street-unit-4a-manhattan-ny-10007/4852269373575936481/","71 Reade St, Unit 4A")</f>
        <v>71 Reade St, Unit 4A</v>
      </c>
      <c r="B421" s="2" t="str">
        <f t="shared" ref="B421:B422" si="58">HYPERLINK("https://www.compass.com/building/reade-chambers-manhattan-ny/281897219919982101/","Reade Chambers")</f>
        <v>Reade Chambers</v>
      </c>
      <c r="C421" s="1" t="s">
        <v>65</v>
      </c>
      <c r="D421" s="1" t="s">
        <v>41</v>
      </c>
      <c r="E421" s="3">
        <v>5550000</v>
      </c>
      <c r="F421" s="1">
        <v>1828.6655683690201</v>
      </c>
      <c r="G421" s="1">
        <v>6</v>
      </c>
      <c r="H421" s="1">
        <v>4</v>
      </c>
      <c r="I421" s="1">
        <v>5</v>
      </c>
      <c r="J421" s="1">
        <v>4.5</v>
      </c>
      <c r="K421" s="1">
        <v>4</v>
      </c>
      <c r="L421" s="1">
        <v>1</v>
      </c>
      <c r="M421" s="4">
        <v>3035</v>
      </c>
      <c r="N421" s="1">
        <v>5508</v>
      </c>
      <c r="O421" s="1">
        <v>7431</v>
      </c>
      <c r="P421" s="1">
        <v>1923</v>
      </c>
      <c r="Q421" s="1" t="s">
        <v>42</v>
      </c>
      <c r="S421" s="1" t="s">
        <v>42</v>
      </c>
      <c r="T421" s="1" t="s">
        <v>153</v>
      </c>
      <c r="V421" s="5">
        <v>44225</v>
      </c>
      <c r="W421" s="5">
        <v>41976</v>
      </c>
      <c r="X421" s="1">
        <v>5550000</v>
      </c>
      <c r="Y421" s="1">
        <v>5550000</v>
      </c>
      <c r="Z421" s="5">
        <v>41976</v>
      </c>
      <c r="AA421" s="1">
        <v>5550000</v>
      </c>
      <c r="AB421" s="1" t="s">
        <v>177</v>
      </c>
      <c r="AC421" s="5">
        <v>42235</v>
      </c>
      <c r="AF421" s="1">
        <v>10007</v>
      </c>
      <c r="AI421" s="1" t="s">
        <v>113</v>
      </c>
      <c r="AJ421" s="1">
        <v>2015</v>
      </c>
      <c r="AK421" s="1" t="s">
        <v>86</v>
      </c>
      <c r="AL421" s="1">
        <v>18</v>
      </c>
    </row>
    <row r="422" spans="1:38" x14ac:dyDescent="0.2">
      <c r="A422" s="2" t="str">
        <f>HYPERLINK("https://www.compass.com/listing/71-reade-street-unit-phb-manhattan-ny-10007/4875010144678710481/","71 Reade St, Unit PHB")</f>
        <v>71 Reade St, Unit PHB</v>
      </c>
      <c r="B422" s="2" t="str">
        <f t="shared" si="58"/>
        <v>Reade Chambers</v>
      </c>
      <c r="C422" s="1" t="s">
        <v>65</v>
      </c>
      <c r="D422" s="1" t="s">
        <v>41</v>
      </c>
      <c r="E422" s="3">
        <v>5800000</v>
      </c>
      <c r="F422" s="1">
        <v>2532.75109170305</v>
      </c>
      <c r="G422" s="1">
        <v>6</v>
      </c>
      <c r="H422" s="1">
        <v>3</v>
      </c>
      <c r="I422" s="1">
        <v>4</v>
      </c>
      <c r="J422" s="1">
        <v>3.5</v>
      </c>
      <c r="K422" s="1">
        <v>3</v>
      </c>
      <c r="L422" s="1">
        <v>1</v>
      </c>
      <c r="M422" s="4">
        <v>2290</v>
      </c>
      <c r="N422" s="1">
        <v>4579</v>
      </c>
      <c r="O422" s="1">
        <v>6178</v>
      </c>
      <c r="P422" s="1">
        <v>1599</v>
      </c>
      <c r="Q422" s="1" t="s">
        <v>42</v>
      </c>
      <c r="S422" s="1" t="s">
        <v>42</v>
      </c>
      <c r="T422" s="1" t="s">
        <v>153</v>
      </c>
      <c r="V422" s="5">
        <v>44245</v>
      </c>
      <c r="W422" s="5">
        <v>41976</v>
      </c>
      <c r="X422" s="1">
        <v>5950000</v>
      </c>
      <c r="Y422" s="1">
        <v>5950000</v>
      </c>
      <c r="Z422" s="5">
        <v>41976</v>
      </c>
      <c r="AA422" s="1">
        <v>5800000</v>
      </c>
      <c r="AB422" s="1" t="s">
        <v>177</v>
      </c>
      <c r="AC422" s="5">
        <v>42230</v>
      </c>
      <c r="AF422" s="1">
        <v>10007</v>
      </c>
      <c r="AI422" s="1" t="s">
        <v>327</v>
      </c>
      <c r="AJ422" s="1">
        <v>2015</v>
      </c>
      <c r="AK422" s="1" t="s">
        <v>99</v>
      </c>
      <c r="AL422" s="1">
        <v>18</v>
      </c>
    </row>
    <row r="423" spans="1:38" x14ac:dyDescent="0.2">
      <c r="A423" s="2" t="str">
        <f>HYPERLINK("https://www.compass.com/listing/2-park-place-unit-46a-manhattan-ny-10007/688467605098973873/","2 Park Pl, Unit 46A")</f>
        <v>2 Park Pl, Unit 46A</v>
      </c>
      <c r="B423" s="2" t="str">
        <f t="shared" ref="B423:B426" si="59">HYPERLINK("https://www.compass.com/building/the-woolworth-tower-residences-manhattan-ny/294842395015266853/","The Woolworth Tower Residences")</f>
        <v>The Woolworth Tower Residences</v>
      </c>
      <c r="C423" s="1" t="s">
        <v>65</v>
      </c>
      <c r="D423" s="1" t="s">
        <v>41</v>
      </c>
      <c r="E423" s="3">
        <v>5675000</v>
      </c>
      <c r="F423" s="1">
        <v>2340.2061855670099</v>
      </c>
      <c r="G423" s="1">
        <v>5</v>
      </c>
      <c r="H423" s="1">
        <v>3</v>
      </c>
      <c r="I423" s="1">
        <v>3</v>
      </c>
      <c r="J423" s="1">
        <v>2.5</v>
      </c>
      <c r="K423" s="1">
        <v>2</v>
      </c>
      <c r="L423" s="1">
        <v>1</v>
      </c>
      <c r="M423" s="4">
        <v>2425</v>
      </c>
      <c r="N423" s="1">
        <v>4181</v>
      </c>
      <c r="O423" s="1">
        <v>7598</v>
      </c>
      <c r="P423" s="1">
        <v>3417</v>
      </c>
      <c r="Q423" s="1" t="s">
        <v>42</v>
      </c>
      <c r="S423" s="1" t="s">
        <v>42</v>
      </c>
      <c r="T423" s="1" t="s">
        <v>153</v>
      </c>
      <c r="V423" s="5">
        <v>44342</v>
      </c>
      <c r="W423" s="5">
        <v>44202</v>
      </c>
      <c r="X423" s="1">
        <v>5995000</v>
      </c>
      <c r="Y423" s="1">
        <v>5995000</v>
      </c>
      <c r="Z423" s="5">
        <v>44202</v>
      </c>
      <c r="AA423" s="1">
        <v>5675000</v>
      </c>
      <c r="AB423" s="1" t="s">
        <v>328</v>
      </c>
      <c r="AC423" s="5">
        <v>44272</v>
      </c>
      <c r="AF423" s="1">
        <v>10007</v>
      </c>
      <c r="AJ423" s="1">
        <v>1913</v>
      </c>
      <c r="AK423" s="1" t="s">
        <v>46</v>
      </c>
      <c r="AL423" s="1">
        <v>32</v>
      </c>
    </row>
    <row r="424" spans="1:38" x14ac:dyDescent="0.2">
      <c r="A424" s="2" t="str">
        <f>HYPERLINK("https://www.compass.com/listing/2-park-place-unit-45a-manhattan-ny-10007/207101190310307073/","2 Park Pl, Unit 45A")</f>
        <v>2 Park Pl, Unit 45A</v>
      </c>
      <c r="B424" s="2" t="str">
        <f t="shared" si="59"/>
        <v>The Woolworth Tower Residences</v>
      </c>
      <c r="C424" s="1" t="s">
        <v>65</v>
      </c>
      <c r="D424" s="1" t="s">
        <v>41</v>
      </c>
      <c r="E424" s="3">
        <v>5500000</v>
      </c>
      <c r="F424" s="1">
        <v>2268.0412371133998</v>
      </c>
      <c r="G424" s="1">
        <v>5</v>
      </c>
      <c r="H424" s="1">
        <v>3</v>
      </c>
      <c r="I424" s="1">
        <v>3</v>
      </c>
      <c r="J424" s="1">
        <v>2.5</v>
      </c>
      <c r="K424" s="1">
        <v>2</v>
      </c>
      <c r="L424" s="1">
        <v>1</v>
      </c>
      <c r="M424" s="4">
        <v>2425</v>
      </c>
      <c r="N424" s="1">
        <v>4099</v>
      </c>
      <c r="O424" s="1">
        <v>7516</v>
      </c>
      <c r="P424" s="1">
        <v>3417</v>
      </c>
      <c r="Q424" s="1" t="s">
        <v>42</v>
      </c>
      <c r="S424" s="1" t="s">
        <v>42</v>
      </c>
      <c r="T424" s="1" t="s">
        <v>153</v>
      </c>
      <c r="U424" s="1">
        <v>565</v>
      </c>
      <c r="V424" s="5">
        <v>44342</v>
      </c>
      <c r="W424" s="5">
        <v>43538</v>
      </c>
      <c r="X424" s="1">
        <v>7900000</v>
      </c>
      <c r="Y424" s="1">
        <v>5950000</v>
      </c>
      <c r="Z424" s="5">
        <v>44197</v>
      </c>
      <c r="AA424" s="1">
        <v>5500000</v>
      </c>
      <c r="AB424" s="1" t="s">
        <v>329</v>
      </c>
      <c r="AC424" s="5">
        <v>44218</v>
      </c>
      <c r="AF424" s="1">
        <v>10007</v>
      </c>
      <c r="AJ424" s="1">
        <v>1913</v>
      </c>
      <c r="AK424" s="1" t="s">
        <v>46</v>
      </c>
      <c r="AL424" s="1">
        <v>32</v>
      </c>
    </row>
    <row r="425" spans="1:38" x14ac:dyDescent="0.2">
      <c r="A425" s="2" t="str">
        <f>HYPERLINK("https://www.compass.com/listing/2-park-place-unit-32b-manhattan-ny-10007/207101191643990161/","2 Park Pl, Unit 32B")</f>
        <v>2 Park Pl, Unit 32B</v>
      </c>
      <c r="B425" s="2" t="str">
        <f t="shared" si="59"/>
        <v>The Woolworth Tower Residences</v>
      </c>
      <c r="C425" s="1" t="s">
        <v>65</v>
      </c>
      <c r="D425" s="1" t="s">
        <v>41</v>
      </c>
      <c r="E425" s="3">
        <v>4950000</v>
      </c>
      <c r="F425" s="1">
        <v>1942.7001569858701</v>
      </c>
      <c r="G425" s="1">
        <v>4</v>
      </c>
      <c r="H425" s="1">
        <v>2</v>
      </c>
      <c r="I425" s="1">
        <v>3</v>
      </c>
      <c r="J425" s="1">
        <v>2.5</v>
      </c>
      <c r="K425" s="1">
        <v>2</v>
      </c>
      <c r="L425" s="1">
        <v>1</v>
      </c>
      <c r="M425" s="4">
        <v>2548</v>
      </c>
      <c r="N425" s="1">
        <v>4307</v>
      </c>
      <c r="O425" s="1">
        <v>7897</v>
      </c>
      <c r="P425" s="1">
        <v>3590</v>
      </c>
      <c r="Q425" s="1" t="s">
        <v>42</v>
      </c>
      <c r="S425" s="1" t="s">
        <v>42</v>
      </c>
      <c r="T425" s="1" t="s">
        <v>153</v>
      </c>
      <c r="U425" s="1">
        <v>349</v>
      </c>
      <c r="V425" s="5">
        <v>44342</v>
      </c>
      <c r="W425" s="5">
        <v>43538</v>
      </c>
      <c r="X425" s="1">
        <v>6750000</v>
      </c>
      <c r="Y425" s="1">
        <v>5395000</v>
      </c>
      <c r="Z425" s="5">
        <v>43887</v>
      </c>
      <c r="AA425" s="1">
        <v>4950000</v>
      </c>
      <c r="AB425" s="1" t="s">
        <v>330</v>
      </c>
      <c r="AC425" s="5">
        <v>43950</v>
      </c>
      <c r="AF425" s="1">
        <v>10007</v>
      </c>
      <c r="AJ425" s="1">
        <v>1913</v>
      </c>
      <c r="AK425" s="1" t="s">
        <v>46</v>
      </c>
      <c r="AL425" s="1">
        <v>32</v>
      </c>
    </row>
    <row r="426" spans="1:38" x14ac:dyDescent="0.2">
      <c r="A426" s="2" t="str">
        <f>HYPERLINK("https://www.compass.com/listing/2-park-place-unit-35b-manhattan-ny-10007/451458545864003913/","2 Park Pl, Unit 35B")</f>
        <v>2 Park Pl, Unit 35B</v>
      </c>
      <c r="B426" s="2" t="str">
        <f t="shared" si="59"/>
        <v>The Woolworth Tower Residences</v>
      </c>
      <c r="C426" s="1" t="s">
        <v>65</v>
      </c>
      <c r="D426" s="1" t="s">
        <v>41</v>
      </c>
      <c r="E426" s="3">
        <v>5400000</v>
      </c>
      <c r="F426" s="1">
        <v>2119.3092621664</v>
      </c>
      <c r="G426" s="1">
        <v>4</v>
      </c>
      <c r="H426" s="1">
        <v>2</v>
      </c>
      <c r="I426" s="1">
        <v>2</v>
      </c>
      <c r="J426" s="1">
        <v>2</v>
      </c>
      <c r="K426" s="1">
        <v>2</v>
      </c>
      <c r="M426" s="4">
        <v>2548</v>
      </c>
      <c r="N426" s="1">
        <v>3853</v>
      </c>
      <c r="O426" s="1">
        <v>3853</v>
      </c>
      <c r="Q426" s="1" t="s">
        <v>42</v>
      </c>
      <c r="S426" s="1" t="s">
        <v>42</v>
      </c>
      <c r="T426" s="1" t="s">
        <v>153</v>
      </c>
      <c r="V426" s="5">
        <v>44342</v>
      </c>
      <c r="W426" s="5">
        <v>43875</v>
      </c>
      <c r="X426" s="1">
        <v>7550000</v>
      </c>
      <c r="Y426" s="1">
        <v>7550000</v>
      </c>
      <c r="Z426" s="5">
        <v>43875</v>
      </c>
      <c r="AA426" s="1">
        <v>5400000</v>
      </c>
      <c r="AB426" s="1" t="s">
        <v>331</v>
      </c>
      <c r="AC426" s="5">
        <v>43987</v>
      </c>
      <c r="AF426" s="1">
        <v>10007</v>
      </c>
      <c r="AJ426" s="1">
        <v>1913</v>
      </c>
      <c r="AK426" s="1" t="s">
        <v>46</v>
      </c>
      <c r="AL426" s="1">
        <v>32</v>
      </c>
    </row>
    <row r="427" spans="1:38" x14ac:dyDescent="0.2">
      <c r="A427" s="2" t="str">
        <f>HYPERLINK("https://www.compass.com/listing/160-west-12th-street-unit-25-manhattan-ny-10011/29367247789225921/","160 W 12th St, Unit 25")</f>
        <v>160 W 12th St, Unit 25</v>
      </c>
      <c r="B427" s="2" t="str">
        <f>HYPERLINK("https://www.compass.com/building/the-greenwich-lane-manhattan-ny/282059161326355877/","The Greenwich Lane")</f>
        <v>The Greenwich Lane</v>
      </c>
      <c r="C427" s="1" t="s">
        <v>40</v>
      </c>
      <c r="D427" s="1" t="s">
        <v>41</v>
      </c>
      <c r="E427" s="3">
        <v>2164360</v>
      </c>
      <c r="F427" s="1">
        <v>2378.41758241758</v>
      </c>
      <c r="G427" s="1">
        <v>2</v>
      </c>
      <c r="H427" s="1">
        <v>1</v>
      </c>
      <c r="I427" s="1">
        <v>1</v>
      </c>
      <c r="J427" s="1">
        <v>1</v>
      </c>
      <c r="M427" s="1">
        <v>910</v>
      </c>
      <c r="N427" s="1">
        <v>1547</v>
      </c>
      <c r="O427" s="1">
        <v>3063</v>
      </c>
      <c r="P427" s="1">
        <v>1516</v>
      </c>
      <c r="Q427" s="1" t="s">
        <v>42</v>
      </c>
      <c r="S427" s="1" t="s">
        <v>42</v>
      </c>
      <c r="T427" s="1" t="s">
        <v>153</v>
      </c>
      <c r="V427" s="5">
        <v>43670</v>
      </c>
      <c r="W427" s="5">
        <v>41783</v>
      </c>
      <c r="X427" s="1">
        <v>2120000</v>
      </c>
      <c r="Y427" s="1">
        <v>2120000</v>
      </c>
      <c r="Z427" s="5">
        <v>41783</v>
      </c>
      <c r="AA427" s="1">
        <v>2164360</v>
      </c>
      <c r="AB427" s="1" t="s">
        <v>332</v>
      </c>
      <c r="AC427" s="5">
        <v>42426</v>
      </c>
      <c r="AF427" s="1">
        <v>10011</v>
      </c>
      <c r="AI427" s="1" t="s">
        <v>45</v>
      </c>
      <c r="AJ427" s="1">
        <v>2016</v>
      </c>
      <c r="AK427" s="1" t="s">
        <v>46</v>
      </c>
      <c r="AL427" s="1">
        <v>57</v>
      </c>
    </row>
    <row r="428" spans="1:38" x14ac:dyDescent="0.2">
      <c r="A428" s="2" t="str">
        <f>HYPERLINK("https://www.compass.com/listing/215-sullivan-street-unit-thd-manhattan-ny-10012/29513443165952721/","215 Sullivan St, Unit THD")</f>
        <v>215 Sullivan St, Unit THD</v>
      </c>
      <c r="B428" s="2" t="str">
        <f>HYPERLINK("https://www.compass.com/building/215-sullivan-st-manhattan-ny-10012/292810405493901557/","215 Sullivan St")</f>
        <v>215 Sullivan St</v>
      </c>
      <c r="C428" s="1" t="s">
        <v>159</v>
      </c>
      <c r="D428" s="1" t="s">
        <v>41</v>
      </c>
      <c r="E428" s="3">
        <v>13250000</v>
      </c>
      <c r="F428" s="1">
        <v>2856.2190127182498</v>
      </c>
      <c r="G428" s="1">
        <v>9</v>
      </c>
      <c r="H428" s="1">
        <v>5</v>
      </c>
      <c r="I428" s="1">
        <v>5</v>
      </c>
      <c r="J428" s="1">
        <v>5</v>
      </c>
      <c r="M428" s="4">
        <v>4639</v>
      </c>
      <c r="N428" s="1">
        <v>7846</v>
      </c>
      <c r="O428" s="1">
        <v>15618</v>
      </c>
      <c r="P428" s="1">
        <v>7772</v>
      </c>
      <c r="Q428" s="1" t="s">
        <v>42</v>
      </c>
      <c r="S428" s="1" t="s">
        <v>42</v>
      </c>
      <c r="T428" s="1" t="s">
        <v>153</v>
      </c>
      <c r="U428" s="1">
        <v>53</v>
      </c>
      <c r="V428" s="5">
        <v>43647</v>
      </c>
      <c r="W428" s="5">
        <v>43215</v>
      </c>
      <c r="X428" s="1">
        <v>13250000</v>
      </c>
      <c r="Y428" s="1">
        <v>13250000</v>
      </c>
      <c r="Z428" s="5">
        <v>43268</v>
      </c>
      <c r="AA428" s="1">
        <v>13250000</v>
      </c>
      <c r="AB428" s="1" t="s">
        <v>333</v>
      </c>
      <c r="AC428" s="5">
        <v>43312</v>
      </c>
      <c r="AF428" s="1">
        <v>10012</v>
      </c>
      <c r="AI428" s="1" t="s">
        <v>334</v>
      </c>
      <c r="AJ428" s="1">
        <v>2014</v>
      </c>
      <c r="AK428" s="1" t="s">
        <v>86</v>
      </c>
      <c r="AL428" s="1">
        <v>25</v>
      </c>
    </row>
    <row r="429" spans="1:38" x14ac:dyDescent="0.2">
      <c r="A429" s="2" t="str">
        <f>HYPERLINK("https://www.compass.com/listing/2-park-place-unit-47a-manhattan-ny-10007/733910655533271177/","2 Park Pl, Unit 47A")</f>
        <v>2 Park Pl, Unit 47A</v>
      </c>
      <c r="B429" s="2" t="str">
        <f t="shared" ref="B429:B430" si="60">HYPERLINK("https://www.compass.com/building/the-woolworth-tower-residences-manhattan-ny/294842395015266853/","The Woolworth Tower Residences")</f>
        <v>The Woolworth Tower Residences</v>
      </c>
      <c r="C429" s="1" t="s">
        <v>65</v>
      </c>
      <c r="D429" s="1" t="s">
        <v>41</v>
      </c>
      <c r="E429" s="3">
        <v>6025000</v>
      </c>
      <c r="F429" s="1">
        <v>2484.5360824742202</v>
      </c>
      <c r="G429" s="1">
        <v>6</v>
      </c>
      <c r="H429" s="1">
        <v>3</v>
      </c>
      <c r="I429" s="1">
        <v>3</v>
      </c>
      <c r="J429" s="1">
        <v>2.5</v>
      </c>
      <c r="K429" s="1">
        <v>2</v>
      </c>
      <c r="L429" s="1">
        <v>1</v>
      </c>
      <c r="M429" s="4">
        <v>2425</v>
      </c>
      <c r="N429" s="1">
        <v>4181</v>
      </c>
      <c r="O429" s="1">
        <v>7598</v>
      </c>
      <c r="P429" s="1">
        <v>3417</v>
      </c>
      <c r="Q429" s="1" t="s">
        <v>42</v>
      </c>
      <c r="S429" s="1" t="s">
        <v>42</v>
      </c>
      <c r="T429" s="1" t="s">
        <v>153</v>
      </c>
      <c r="V429" s="5">
        <v>44342</v>
      </c>
      <c r="W429" s="5">
        <v>44264</v>
      </c>
      <c r="X429" s="1">
        <v>6500000</v>
      </c>
      <c r="Y429" s="1">
        <v>6500000</v>
      </c>
      <c r="Z429" s="5">
        <v>44264</v>
      </c>
      <c r="AA429" s="1">
        <v>6025000</v>
      </c>
      <c r="AB429" s="1" t="s">
        <v>335</v>
      </c>
      <c r="AC429" s="5">
        <v>44287</v>
      </c>
      <c r="AF429" s="1">
        <v>10007</v>
      </c>
      <c r="AJ429" s="1">
        <v>1913</v>
      </c>
      <c r="AK429" s="1" t="s">
        <v>46</v>
      </c>
      <c r="AL429" s="1">
        <v>32</v>
      </c>
    </row>
    <row r="430" spans="1:38" x14ac:dyDescent="0.2">
      <c r="A430" s="2" t="str">
        <f>HYPERLINK("https://www.compass.com/listing/2-park-place-unit-39a-manhattan-ny-10007/695658975346719185/","2 Park Pl, Unit 39A")</f>
        <v>2 Park Pl, Unit 39A</v>
      </c>
      <c r="B430" s="2" t="str">
        <f t="shared" si="60"/>
        <v>The Woolworth Tower Residences</v>
      </c>
      <c r="C430" s="1" t="s">
        <v>65</v>
      </c>
      <c r="D430" s="1" t="s">
        <v>41</v>
      </c>
      <c r="E430" s="3">
        <v>6800000</v>
      </c>
      <c r="F430" s="1">
        <v>2071.9073735527099</v>
      </c>
      <c r="G430" s="1">
        <v>5</v>
      </c>
      <c r="H430" s="1">
        <v>3</v>
      </c>
      <c r="I430" s="1">
        <v>4</v>
      </c>
      <c r="J430" s="1">
        <v>3.5</v>
      </c>
      <c r="K430" s="1">
        <v>3</v>
      </c>
      <c r="L430" s="1">
        <v>1</v>
      </c>
      <c r="M430" s="4">
        <v>3282</v>
      </c>
      <c r="N430" s="1">
        <v>4963</v>
      </c>
      <c r="O430" s="1">
        <v>9605</v>
      </c>
      <c r="P430" s="1">
        <v>4642</v>
      </c>
      <c r="Q430" s="1" t="s">
        <v>42</v>
      </c>
      <c r="S430" s="1" t="s">
        <v>42</v>
      </c>
      <c r="T430" s="1" t="s">
        <v>153</v>
      </c>
      <c r="V430" s="5">
        <v>44342</v>
      </c>
      <c r="W430" s="5">
        <v>44212</v>
      </c>
      <c r="X430" s="1">
        <v>10275000</v>
      </c>
      <c r="Y430" s="1">
        <v>10275000</v>
      </c>
      <c r="Z430" s="5">
        <v>44212</v>
      </c>
      <c r="AA430" s="1">
        <v>6800000</v>
      </c>
      <c r="AB430" s="1" t="s">
        <v>336</v>
      </c>
      <c r="AC430" s="5">
        <v>44265</v>
      </c>
      <c r="AF430" s="1">
        <v>10007</v>
      </c>
      <c r="AJ430" s="1">
        <v>1913</v>
      </c>
      <c r="AK430" s="1" t="s">
        <v>46</v>
      </c>
      <c r="AL430" s="1">
        <v>32</v>
      </c>
    </row>
    <row r="431" spans="1:38" x14ac:dyDescent="0.2">
      <c r="A431" s="2" t="str">
        <f>HYPERLINK("https://www.compass.com/listing/160-west-12th-street-unit-86-manhattan-ny-10011/29367264138620049/","160 W 12th St, Unit 86")</f>
        <v>160 W 12th St, Unit 86</v>
      </c>
      <c r="B431" s="2" t="str">
        <f t="shared" ref="B431:B432" si="61">HYPERLINK("https://www.compass.com/building/the-greenwich-lane-manhattan-ny/282059161326355877/","The Greenwich Lane")</f>
        <v>The Greenwich Lane</v>
      </c>
      <c r="C431" s="1" t="s">
        <v>40</v>
      </c>
      <c r="D431" s="1" t="s">
        <v>41</v>
      </c>
      <c r="E431" s="3">
        <v>7450000</v>
      </c>
      <c r="F431" s="1">
        <v>2934.2260732571799</v>
      </c>
      <c r="G431" s="1">
        <v>5</v>
      </c>
      <c r="H431" s="1">
        <v>3</v>
      </c>
      <c r="I431" s="1">
        <v>4</v>
      </c>
      <c r="J431" s="1">
        <v>3.5</v>
      </c>
      <c r="K431" s="1">
        <v>3</v>
      </c>
      <c r="L431" s="1">
        <v>1</v>
      </c>
      <c r="M431" s="4">
        <v>2539</v>
      </c>
      <c r="N431" s="1">
        <v>4445</v>
      </c>
      <c r="O431" s="1">
        <v>8609</v>
      </c>
      <c r="P431" s="1">
        <v>4164</v>
      </c>
      <c r="Q431" s="1" t="s">
        <v>42</v>
      </c>
      <c r="S431" s="1" t="s">
        <v>42</v>
      </c>
      <c r="T431" s="1" t="s">
        <v>153</v>
      </c>
      <c r="U431" s="1">
        <v>98</v>
      </c>
      <c r="V431" s="5">
        <v>44336</v>
      </c>
      <c r="W431" s="5">
        <v>43132</v>
      </c>
      <c r="X431" s="1">
        <v>7995000</v>
      </c>
      <c r="Y431" s="1">
        <v>7699000</v>
      </c>
      <c r="Z431" s="5">
        <v>43230</v>
      </c>
      <c r="AA431" s="1">
        <v>7450000</v>
      </c>
      <c r="AB431" s="1" t="s">
        <v>337</v>
      </c>
      <c r="AC431" s="5">
        <v>43259</v>
      </c>
      <c r="AF431" s="1">
        <v>10011</v>
      </c>
      <c r="AI431" s="1" t="s">
        <v>80</v>
      </c>
      <c r="AJ431" s="1">
        <v>2016</v>
      </c>
      <c r="AK431" s="1" t="s">
        <v>49</v>
      </c>
      <c r="AL431" s="1">
        <v>57</v>
      </c>
    </row>
    <row r="432" spans="1:38" x14ac:dyDescent="0.2">
      <c r="A432" s="2" t="str">
        <f>HYPERLINK("https://www.compass.com/listing/160-west-12th-street-unit-86-manhattan-ny-10011/801636598236113641/","160 W 12th St, Unit 86")</f>
        <v>160 W 12th St, Unit 86</v>
      </c>
      <c r="B432" s="2" t="str">
        <f t="shared" si="61"/>
        <v>The Greenwich Lane</v>
      </c>
      <c r="C432" s="1" t="s">
        <v>40</v>
      </c>
      <c r="D432" s="1" t="s">
        <v>41</v>
      </c>
      <c r="E432" s="3">
        <v>7450000</v>
      </c>
      <c r="F432" s="1">
        <v>2934.2260732571799</v>
      </c>
      <c r="G432" s="1">
        <v>6</v>
      </c>
      <c r="H432" s="1">
        <v>3</v>
      </c>
      <c r="I432" s="1">
        <v>4</v>
      </c>
      <c r="J432" s="1">
        <v>3.5</v>
      </c>
      <c r="M432" s="4">
        <v>2539</v>
      </c>
      <c r="N432" s="1">
        <v>4445</v>
      </c>
      <c r="O432" s="1">
        <v>8609</v>
      </c>
      <c r="P432" s="1">
        <v>4164</v>
      </c>
      <c r="Q432" s="1" t="s">
        <v>42</v>
      </c>
      <c r="S432" s="1" t="s">
        <v>42</v>
      </c>
      <c r="T432" s="1" t="s">
        <v>153</v>
      </c>
      <c r="U432" s="1">
        <v>21</v>
      </c>
      <c r="V432" s="5">
        <v>43153</v>
      </c>
      <c r="W432" s="5">
        <v>43131</v>
      </c>
      <c r="X432" s="1">
        <v>7995000</v>
      </c>
      <c r="Y432" s="1">
        <v>7995000</v>
      </c>
      <c r="AA432" s="1">
        <v>7450000</v>
      </c>
      <c r="AB432" s="1" t="s">
        <v>337</v>
      </c>
      <c r="AC432" s="5">
        <v>43259</v>
      </c>
      <c r="AF432" s="1">
        <v>10011</v>
      </c>
      <c r="AI432" s="1" t="s">
        <v>45</v>
      </c>
      <c r="AJ432" s="1">
        <v>2016</v>
      </c>
      <c r="AK432" s="1" t="s">
        <v>49</v>
      </c>
      <c r="AL432" s="1">
        <v>57</v>
      </c>
    </row>
    <row r="433" spans="1:38" x14ac:dyDescent="0.2">
      <c r="A433" s="2" t="str">
        <f>HYPERLINK("https://www.compass.com/listing/71-reade-street-unit-6a-manhattan-ny-10007/4852321305803888017/","71 Reade St, Unit 6A")</f>
        <v>71 Reade St, Unit 6A</v>
      </c>
      <c r="B433" s="2" t="str">
        <f>HYPERLINK("https://www.compass.com/building/reade-chambers-manhattan-ny/281897219919982101/","Reade Chambers")</f>
        <v>Reade Chambers</v>
      </c>
      <c r="C433" s="1" t="s">
        <v>65</v>
      </c>
      <c r="D433" s="1" t="s">
        <v>41</v>
      </c>
      <c r="E433" s="3">
        <v>5625000</v>
      </c>
      <c r="F433" s="1">
        <v>1853.37726523887</v>
      </c>
      <c r="G433" s="1">
        <v>6</v>
      </c>
      <c r="H433" s="1">
        <v>4</v>
      </c>
      <c r="I433" s="1">
        <v>5</v>
      </c>
      <c r="J433" s="1">
        <v>4.5</v>
      </c>
      <c r="M433" s="4">
        <v>3035</v>
      </c>
      <c r="N433" s="1">
        <v>5563</v>
      </c>
      <c r="O433" s="1">
        <v>7505</v>
      </c>
      <c r="P433" s="1">
        <v>1942</v>
      </c>
      <c r="Q433" s="1" t="s">
        <v>42</v>
      </c>
      <c r="S433" s="1" t="s">
        <v>42</v>
      </c>
      <c r="T433" s="1" t="s">
        <v>153</v>
      </c>
      <c r="V433" s="5">
        <v>43651</v>
      </c>
      <c r="W433" s="5">
        <v>41976</v>
      </c>
      <c r="X433" s="1">
        <v>5625000</v>
      </c>
      <c r="Y433" s="1">
        <v>5625000</v>
      </c>
      <c r="Z433" s="5">
        <v>41976</v>
      </c>
      <c r="AA433" s="1">
        <v>5625000</v>
      </c>
      <c r="AB433" s="1" t="s">
        <v>177</v>
      </c>
      <c r="AC433" s="5">
        <v>42276</v>
      </c>
      <c r="AF433" s="1">
        <v>10007</v>
      </c>
      <c r="AI433" s="1" t="s">
        <v>53</v>
      </c>
      <c r="AJ433" s="1">
        <v>2015</v>
      </c>
      <c r="AK433" s="1" t="s">
        <v>99</v>
      </c>
      <c r="AL433" s="1">
        <v>18</v>
      </c>
    </row>
    <row r="434" spans="1:38" x14ac:dyDescent="0.2">
      <c r="A434" s="2" t="str">
        <f>HYPERLINK("https://www.compass.com/listing/2-park-place-unit-38b-manhattan-ny-10007/29513467736136049/","2 Park Pl, Unit 38B")</f>
        <v>2 Park Pl, Unit 38B</v>
      </c>
      <c r="B434" s="2" t="str">
        <f t="shared" ref="B434:B436" si="62">HYPERLINK("https://www.compass.com/building/the-woolworth-tower-residences-manhattan-ny/294842395015266853/","The Woolworth Tower Residences")</f>
        <v>The Woolworth Tower Residences</v>
      </c>
      <c r="C434" s="1" t="s">
        <v>65</v>
      </c>
      <c r="D434" s="1" t="s">
        <v>41</v>
      </c>
      <c r="E434" s="3">
        <v>7550000</v>
      </c>
      <c r="F434" s="1">
        <v>2963.10832025117</v>
      </c>
      <c r="G434" s="1">
        <v>4</v>
      </c>
      <c r="H434" s="1">
        <v>2</v>
      </c>
      <c r="I434" s="1">
        <v>3</v>
      </c>
      <c r="J434" s="1">
        <v>2.5</v>
      </c>
      <c r="K434" s="1">
        <v>2</v>
      </c>
      <c r="L434" s="1">
        <v>1</v>
      </c>
      <c r="M434" s="4">
        <v>2548</v>
      </c>
      <c r="N434" s="1">
        <v>3853</v>
      </c>
      <c r="O434" s="1">
        <v>7456</v>
      </c>
      <c r="P434" s="1">
        <v>3603</v>
      </c>
      <c r="Q434" s="1" t="s">
        <v>42</v>
      </c>
      <c r="S434" s="1" t="s">
        <v>42</v>
      </c>
      <c r="T434" s="1" t="s">
        <v>153</v>
      </c>
      <c r="V434" s="5">
        <v>44342</v>
      </c>
      <c r="W434" s="5">
        <v>42844</v>
      </c>
      <c r="X434" s="1">
        <v>7850000</v>
      </c>
      <c r="Y434" s="1">
        <v>7850000</v>
      </c>
      <c r="Z434" s="5">
        <v>42844</v>
      </c>
      <c r="AA434" s="1">
        <v>7550000</v>
      </c>
      <c r="AB434" s="1" t="s">
        <v>338</v>
      </c>
      <c r="AC434" s="5">
        <v>43206</v>
      </c>
      <c r="AF434" s="1">
        <v>10007</v>
      </c>
      <c r="AJ434" s="1">
        <v>1913</v>
      </c>
      <c r="AK434" s="1" t="s">
        <v>46</v>
      </c>
      <c r="AL434" s="1">
        <v>32</v>
      </c>
    </row>
    <row r="435" spans="1:38" x14ac:dyDescent="0.2">
      <c r="A435" s="2" t="str">
        <f>HYPERLINK("https://www.compass.com/listing/2-park-place-unit-38b-manhattan-ny-10007/803384266373392665/","2 Park Pl, Unit 38B")</f>
        <v>2 Park Pl, Unit 38B</v>
      </c>
      <c r="B435" s="2" t="str">
        <f t="shared" si="62"/>
        <v>The Woolworth Tower Residences</v>
      </c>
      <c r="C435" s="1" t="s">
        <v>65</v>
      </c>
      <c r="D435" s="1" t="s">
        <v>41</v>
      </c>
      <c r="E435" s="3">
        <v>7550000</v>
      </c>
      <c r="F435" s="1">
        <v>2963.10832025117</v>
      </c>
      <c r="G435" s="1">
        <v>4</v>
      </c>
      <c r="H435" s="1">
        <v>2</v>
      </c>
      <c r="I435" s="1">
        <v>3</v>
      </c>
      <c r="J435" s="1">
        <v>2.5</v>
      </c>
      <c r="M435" s="4">
        <v>2548</v>
      </c>
      <c r="N435" s="1">
        <v>3853</v>
      </c>
      <c r="O435" s="1">
        <v>7456</v>
      </c>
      <c r="P435" s="1">
        <v>3603</v>
      </c>
      <c r="Q435" s="1" t="s">
        <v>42</v>
      </c>
      <c r="S435" s="1" t="s">
        <v>42</v>
      </c>
      <c r="T435" s="1" t="s">
        <v>153</v>
      </c>
      <c r="V435" s="5">
        <v>43153</v>
      </c>
      <c r="W435" s="5">
        <v>42843</v>
      </c>
      <c r="X435" s="1">
        <v>7850000</v>
      </c>
      <c r="Y435" s="1">
        <v>7850000</v>
      </c>
      <c r="Z435" s="5">
        <v>42844</v>
      </c>
      <c r="AA435" s="1">
        <v>7550000</v>
      </c>
      <c r="AB435" s="1" t="s">
        <v>338</v>
      </c>
      <c r="AC435" s="5">
        <v>43206</v>
      </c>
      <c r="AF435" s="1">
        <v>10007</v>
      </c>
      <c r="AJ435" s="1">
        <v>1913</v>
      </c>
      <c r="AK435" s="1" t="s">
        <v>46</v>
      </c>
      <c r="AL435" s="1">
        <v>32</v>
      </c>
    </row>
    <row r="436" spans="1:38" x14ac:dyDescent="0.2">
      <c r="A436" s="2" t="str">
        <f>HYPERLINK("https://www.compass.com/listing/2-park-place-unit-36a-manhattan-ny-10007/690756246177907297/","2 Park Pl, Unit 36A")</f>
        <v>2 Park Pl, Unit 36A</v>
      </c>
      <c r="B436" s="2" t="str">
        <f t="shared" si="62"/>
        <v>The Woolworth Tower Residences</v>
      </c>
      <c r="C436" s="1" t="s">
        <v>65</v>
      </c>
      <c r="D436" s="1" t="s">
        <v>41</v>
      </c>
      <c r="E436" s="3">
        <v>6950000</v>
      </c>
      <c r="F436" s="1">
        <v>2117.61121267519</v>
      </c>
      <c r="G436" s="1">
        <v>5</v>
      </c>
      <c r="H436" s="1">
        <v>3</v>
      </c>
      <c r="I436" s="1">
        <v>4</v>
      </c>
      <c r="J436" s="1">
        <v>3.5</v>
      </c>
      <c r="K436" s="1">
        <v>3</v>
      </c>
      <c r="L436" s="1">
        <v>1</v>
      </c>
      <c r="M436" s="4">
        <v>3282</v>
      </c>
      <c r="N436" s="1">
        <v>4963</v>
      </c>
      <c r="O436" s="1">
        <v>9605</v>
      </c>
      <c r="P436" s="1">
        <v>4642</v>
      </c>
      <c r="Q436" s="1" t="s">
        <v>42</v>
      </c>
      <c r="S436" s="1" t="s">
        <v>42</v>
      </c>
      <c r="T436" s="1" t="s">
        <v>153</v>
      </c>
      <c r="V436" s="5">
        <v>44342</v>
      </c>
      <c r="W436" s="5">
        <v>44205</v>
      </c>
      <c r="X436" s="1">
        <v>9975000</v>
      </c>
      <c r="Y436" s="1">
        <v>9975000</v>
      </c>
      <c r="Z436" s="5">
        <v>44205</v>
      </c>
      <c r="AA436" s="1">
        <v>6950000</v>
      </c>
      <c r="AB436" s="1" t="s">
        <v>339</v>
      </c>
      <c r="AC436" s="5">
        <v>44236</v>
      </c>
      <c r="AF436" s="1">
        <v>10007</v>
      </c>
      <c r="AJ436" s="1">
        <v>1913</v>
      </c>
      <c r="AK436" s="1" t="s">
        <v>46</v>
      </c>
      <c r="AL436" s="1">
        <v>32</v>
      </c>
    </row>
    <row r="437" spans="1:38" x14ac:dyDescent="0.2">
      <c r="A437" s="2" t="str">
        <f>HYPERLINK("https://www.compass.com/listing/438-east-12th-street-unit-4m-manhattan-ny-10009/29361657931104497/","438 E 12th St, Unit 4M")</f>
        <v>438 E 12th St, Unit 4M</v>
      </c>
      <c r="B437" s="2" t="str">
        <f>HYPERLINK("https://www.compass.com/building/steiner-east-village-manhattan-ny/281900317572873557/","Steiner East Village")</f>
        <v>Steiner East Village</v>
      </c>
      <c r="C437" s="1" t="s">
        <v>52</v>
      </c>
      <c r="D437" s="1" t="s">
        <v>41</v>
      </c>
      <c r="E437" s="3">
        <v>3044568</v>
      </c>
      <c r="F437" s="1">
        <v>2263.61933085501</v>
      </c>
      <c r="G437" s="1">
        <v>6</v>
      </c>
      <c r="H437" s="1">
        <v>3</v>
      </c>
      <c r="I437" s="1">
        <v>3</v>
      </c>
      <c r="J437" s="1">
        <v>3</v>
      </c>
      <c r="K437" s="1">
        <v>3</v>
      </c>
      <c r="M437" s="4">
        <v>1345</v>
      </c>
      <c r="N437" s="1">
        <v>1406</v>
      </c>
      <c r="O437" s="1">
        <v>3311</v>
      </c>
      <c r="P437" s="1">
        <v>1905</v>
      </c>
      <c r="Q437" s="1" t="s">
        <v>42</v>
      </c>
      <c r="S437" s="1" t="s">
        <v>42</v>
      </c>
      <c r="T437" s="1" t="s">
        <v>153</v>
      </c>
      <c r="U437" s="1">
        <v>133</v>
      </c>
      <c r="V437" s="5">
        <v>43641</v>
      </c>
      <c r="W437" s="5">
        <v>42748</v>
      </c>
      <c r="X437" s="1">
        <v>2975000</v>
      </c>
      <c r="Y437" s="1">
        <v>2975000</v>
      </c>
      <c r="Z437" s="5">
        <v>42881</v>
      </c>
      <c r="AA437" s="1">
        <v>3044568</v>
      </c>
      <c r="AB437" s="1" t="s">
        <v>340</v>
      </c>
      <c r="AC437" s="5">
        <v>43152</v>
      </c>
      <c r="AF437" s="1">
        <v>10009</v>
      </c>
      <c r="AI437" s="1" t="s">
        <v>71</v>
      </c>
      <c r="AJ437" s="1">
        <v>2017</v>
      </c>
      <c r="AK437" s="1" t="s">
        <v>49</v>
      </c>
      <c r="AL437" s="1">
        <v>82</v>
      </c>
    </row>
    <row r="438" spans="1:38" x14ac:dyDescent="0.2">
      <c r="A438" s="2" t="str">
        <f>HYPERLINK("https://www.compass.com/listing/2-park-place-unit-32a-manhattan-ny-10007/104947606240642353/","2 Park Pl, Unit 32A")</f>
        <v>2 Park Pl, Unit 32A</v>
      </c>
      <c r="B438" s="2" t="str">
        <f t="shared" ref="B438:B440" si="63">HYPERLINK("https://www.compass.com/building/the-woolworth-tower-residences-manhattan-ny/294842395015266853/","The Woolworth Tower Residences")</f>
        <v>The Woolworth Tower Residences</v>
      </c>
      <c r="C438" s="1" t="s">
        <v>65</v>
      </c>
      <c r="D438" s="1" t="s">
        <v>41</v>
      </c>
      <c r="E438" s="3">
        <v>8000000</v>
      </c>
      <c r="F438" s="1">
        <v>2453.23520392517</v>
      </c>
      <c r="G438" s="1">
        <v>5</v>
      </c>
      <c r="H438" s="1">
        <v>3</v>
      </c>
      <c r="I438" s="1">
        <v>4</v>
      </c>
      <c r="J438" s="1">
        <v>3.5</v>
      </c>
      <c r="K438" s="1">
        <v>3</v>
      </c>
      <c r="L438" s="1">
        <v>1</v>
      </c>
      <c r="M438" s="4">
        <v>3261</v>
      </c>
      <c r="N438" s="1">
        <v>4925</v>
      </c>
      <c r="O438" s="1">
        <v>9531</v>
      </c>
      <c r="P438" s="1">
        <v>4606</v>
      </c>
      <c r="Q438" s="1" t="s">
        <v>42</v>
      </c>
      <c r="S438" s="1" t="s">
        <v>42</v>
      </c>
      <c r="T438" s="1" t="s">
        <v>153</v>
      </c>
      <c r="V438" s="5">
        <v>44342</v>
      </c>
      <c r="W438" s="5">
        <v>43397</v>
      </c>
      <c r="X438" s="1">
        <v>9575000</v>
      </c>
      <c r="Y438" s="1">
        <v>9575000</v>
      </c>
      <c r="Z438" s="5">
        <v>43397</v>
      </c>
      <c r="AA438" s="1">
        <v>8000000</v>
      </c>
      <c r="AB438" s="1" t="s">
        <v>341</v>
      </c>
      <c r="AC438" s="5">
        <v>43517</v>
      </c>
      <c r="AF438" s="1">
        <v>10007</v>
      </c>
      <c r="AJ438" s="1">
        <v>1913</v>
      </c>
      <c r="AK438" s="1" t="s">
        <v>46</v>
      </c>
      <c r="AL438" s="1">
        <v>32</v>
      </c>
    </row>
    <row r="439" spans="1:38" x14ac:dyDescent="0.2">
      <c r="A439" s="2" t="str">
        <f>HYPERLINK("https://www.compass.com/listing/2-park-place-unit-41a-manhattan-ny-10007/266653773559066081/","2 Park Pl, Unit 41A")</f>
        <v>2 Park Pl, Unit 41A</v>
      </c>
      <c r="B439" s="2" t="str">
        <f t="shared" si="63"/>
        <v>The Woolworth Tower Residences</v>
      </c>
      <c r="C439" s="1" t="s">
        <v>65</v>
      </c>
      <c r="D439" s="1" t="s">
        <v>41</v>
      </c>
      <c r="E439" s="3">
        <v>11175000</v>
      </c>
      <c r="F439" s="1">
        <v>3404.9360146252202</v>
      </c>
      <c r="G439" s="1">
        <v>5</v>
      </c>
      <c r="H439" s="1">
        <v>3</v>
      </c>
      <c r="I439" s="1">
        <v>4</v>
      </c>
      <c r="J439" s="1">
        <v>3.5</v>
      </c>
      <c r="K439" s="1">
        <v>3</v>
      </c>
      <c r="L439" s="1">
        <v>1</v>
      </c>
      <c r="M439" s="4">
        <v>3282</v>
      </c>
      <c r="N439" s="1">
        <v>4925</v>
      </c>
      <c r="O439" s="1">
        <v>9531</v>
      </c>
      <c r="P439" s="1">
        <v>4606</v>
      </c>
      <c r="Q439" s="1" t="s">
        <v>42</v>
      </c>
      <c r="S439" s="1" t="s">
        <v>42</v>
      </c>
      <c r="T439" s="1" t="s">
        <v>153</v>
      </c>
      <c r="V439" s="5">
        <v>44342</v>
      </c>
      <c r="W439" s="5">
        <v>43620</v>
      </c>
      <c r="X439" s="1">
        <v>11750000</v>
      </c>
      <c r="Y439" s="1">
        <v>11750000</v>
      </c>
      <c r="Z439" s="5">
        <v>43620</v>
      </c>
      <c r="AA439" s="1">
        <v>11175000</v>
      </c>
      <c r="AB439" s="1" t="s">
        <v>177</v>
      </c>
      <c r="AC439" s="5">
        <v>43623</v>
      </c>
      <c r="AF439" s="1">
        <v>10007</v>
      </c>
      <c r="AJ439" s="1">
        <v>1913</v>
      </c>
      <c r="AK439" s="1" t="s">
        <v>46</v>
      </c>
      <c r="AL439" s="1">
        <v>32</v>
      </c>
    </row>
    <row r="440" spans="1:38" x14ac:dyDescent="0.2">
      <c r="A440" s="2" t="str">
        <f>HYPERLINK("https://www.compass.com/listing/2-park-place-unit-32a-manhattan-ny-10007/803430392375752497/","2 Park Pl, Unit 32A")</f>
        <v>2 Park Pl, Unit 32A</v>
      </c>
      <c r="B440" s="2" t="str">
        <f t="shared" si="63"/>
        <v>The Woolworth Tower Residences</v>
      </c>
      <c r="C440" s="1" t="s">
        <v>65</v>
      </c>
      <c r="D440" s="1" t="s">
        <v>41</v>
      </c>
      <c r="E440" s="3">
        <v>8000000</v>
      </c>
      <c r="F440" s="1">
        <v>2437.5380865326001</v>
      </c>
      <c r="G440" s="1">
        <v>5</v>
      </c>
      <c r="H440" s="1">
        <v>3</v>
      </c>
      <c r="I440" s="1">
        <v>4</v>
      </c>
      <c r="J440" s="1">
        <v>3.5</v>
      </c>
      <c r="K440" s="1">
        <v>3</v>
      </c>
      <c r="L440" s="1">
        <v>1</v>
      </c>
      <c r="M440" s="4">
        <v>3282</v>
      </c>
      <c r="N440" s="1">
        <v>4963</v>
      </c>
      <c r="O440" s="1">
        <v>9605</v>
      </c>
      <c r="P440" s="1">
        <v>4642</v>
      </c>
      <c r="Q440" s="1" t="s">
        <v>42</v>
      </c>
      <c r="S440" s="1" t="s">
        <v>42</v>
      </c>
      <c r="T440" s="1" t="s">
        <v>153</v>
      </c>
      <c r="U440" s="1">
        <v>429</v>
      </c>
      <c r="V440" s="5">
        <v>43480</v>
      </c>
      <c r="W440" s="5">
        <v>42745</v>
      </c>
      <c r="X440" s="1">
        <v>9575000</v>
      </c>
      <c r="Y440" s="1">
        <v>9575000</v>
      </c>
      <c r="AA440" s="1">
        <v>8000000</v>
      </c>
      <c r="AB440" s="1" t="s">
        <v>341</v>
      </c>
      <c r="AC440" s="5">
        <v>43517</v>
      </c>
      <c r="AF440" s="1">
        <v>10007</v>
      </c>
      <c r="AJ440" s="1">
        <v>1913</v>
      </c>
      <c r="AK440" s="1" t="s">
        <v>46</v>
      </c>
      <c r="AL440" s="1">
        <v>32</v>
      </c>
    </row>
    <row r="441" spans="1:38" x14ac:dyDescent="0.2">
      <c r="A441" s="2" t="str">
        <f>HYPERLINK("https://www.compass.com/listing/21-west-20th-street-unit-5-manhattan-ny-10011/29374663217974257/","21 W 20th St, Unit 5")</f>
        <v>21 W 20th St, Unit 5</v>
      </c>
      <c r="B441" s="2" t="str">
        <f>HYPERLINK("https://www.compass.com/building/21w20-manhattan-ny/281906757389799461/","21W20")</f>
        <v>21W20</v>
      </c>
      <c r="C441" s="1" t="s">
        <v>56</v>
      </c>
      <c r="D441" s="1" t="s">
        <v>41</v>
      </c>
      <c r="E441" s="3">
        <v>2725000</v>
      </c>
      <c r="F441" s="1">
        <v>2092.9339477726498</v>
      </c>
      <c r="G441" s="1">
        <v>3.5</v>
      </c>
      <c r="H441" s="1">
        <v>2</v>
      </c>
      <c r="I441" s="1">
        <v>2</v>
      </c>
      <c r="J441" s="1">
        <v>2</v>
      </c>
      <c r="M441" s="4">
        <v>1302</v>
      </c>
      <c r="N441" s="1">
        <v>1928</v>
      </c>
      <c r="O441" s="1">
        <v>2391</v>
      </c>
      <c r="P441" s="1">
        <v>463</v>
      </c>
      <c r="Q441" s="1" t="s">
        <v>42</v>
      </c>
      <c r="S441" s="1" t="s">
        <v>42</v>
      </c>
      <c r="T441" s="1" t="s">
        <v>153</v>
      </c>
      <c r="U441" s="1">
        <v>278</v>
      </c>
      <c r="V441" s="5">
        <v>43663</v>
      </c>
      <c r="W441" s="5">
        <v>42481</v>
      </c>
      <c r="X441" s="1">
        <v>2995000</v>
      </c>
      <c r="Y441" s="1">
        <v>2725000</v>
      </c>
      <c r="Z441" s="5">
        <v>42759</v>
      </c>
      <c r="AA441" s="1">
        <v>2725000</v>
      </c>
      <c r="AB441" s="1" t="s">
        <v>342</v>
      </c>
      <c r="AC441" s="5">
        <v>42782</v>
      </c>
      <c r="AF441" s="1">
        <v>10011</v>
      </c>
      <c r="AI441" s="1" t="s">
        <v>81</v>
      </c>
      <c r="AJ441" s="1">
        <v>2016</v>
      </c>
      <c r="AK441" s="1" t="s">
        <v>49</v>
      </c>
      <c r="AL441" s="1">
        <v>13</v>
      </c>
    </row>
    <row r="442" spans="1:38" x14ac:dyDescent="0.2">
      <c r="A442" s="2" t="str">
        <f>HYPERLINK("https://www.compass.com/listing/438-east-12th-street-unit-3e-manhattan-ny-10009/29361649467127265/","438 E 12th St, Unit 3E")</f>
        <v>438 E 12th St, Unit 3E</v>
      </c>
      <c r="B442" s="2" t="str">
        <f t="shared" ref="B442:B444" si="64">HYPERLINK("https://www.compass.com/building/steiner-east-village-manhattan-ny/281900317572873557/","Steiner East Village")</f>
        <v>Steiner East Village</v>
      </c>
      <c r="C442" s="1" t="s">
        <v>52</v>
      </c>
      <c r="D442" s="1" t="s">
        <v>41</v>
      </c>
      <c r="E442" s="3">
        <v>2215029</v>
      </c>
      <c r="F442" s="1">
        <v>1855.1331658291399</v>
      </c>
      <c r="G442" s="1">
        <v>4</v>
      </c>
      <c r="H442" s="1">
        <v>2</v>
      </c>
      <c r="I442" s="1">
        <v>3</v>
      </c>
      <c r="J442" s="1">
        <v>2.5</v>
      </c>
      <c r="K442" s="1">
        <v>2</v>
      </c>
      <c r="L442" s="1">
        <v>1</v>
      </c>
      <c r="M442" s="4">
        <v>1194</v>
      </c>
      <c r="N442" s="1">
        <v>1248</v>
      </c>
      <c r="O442" s="1">
        <v>2939</v>
      </c>
      <c r="P442" s="1">
        <v>1691</v>
      </c>
      <c r="Q442" s="1" t="s">
        <v>42</v>
      </c>
      <c r="S442" s="1" t="s">
        <v>42</v>
      </c>
      <c r="T442" s="1" t="s">
        <v>153</v>
      </c>
      <c r="U442" s="1">
        <v>147</v>
      </c>
      <c r="V442" s="5">
        <v>43641</v>
      </c>
      <c r="W442" s="5">
        <v>43042</v>
      </c>
      <c r="X442" s="1">
        <v>2195000</v>
      </c>
      <c r="Y442" s="1">
        <v>2195000</v>
      </c>
      <c r="Z442" s="5">
        <v>43189</v>
      </c>
      <c r="AA442" s="1">
        <v>2215029</v>
      </c>
      <c r="AB442" s="1" t="s">
        <v>343</v>
      </c>
      <c r="AC442" s="5">
        <v>43222</v>
      </c>
      <c r="AF442" s="1">
        <v>10009</v>
      </c>
      <c r="AI442" s="1" t="s">
        <v>71</v>
      </c>
      <c r="AJ442" s="1">
        <v>2017</v>
      </c>
      <c r="AK442" s="1" t="s">
        <v>49</v>
      </c>
      <c r="AL442" s="1">
        <v>82</v>
      </c>
    </row>
    <row r="443" spans="1:38" x14ac:dyDescent="0.2">
      <c r="A443" s="2" t="str">
        <f>HYPERLINK("https://www.compass.com/listing/438-east-12th-street-unit-4e-manhattan-ny-10009/29361656320582241/","438 E 12th St, Unit 4E")</f>
        <v>438 E 12th St, Unit 4E</v>
      </c>
      <c r="B443" s="2" t="str">
        <f t="shared" si="64"/>
        <v>Steiner East Village</v>
      </c>
      <c r="C443" s="1" t="s">
        <v>52</v>
      </c>
      <c r="D443" s="1" t="s">
        <v>41</v>
      </c>
      <c r="E443" s="3">
        <v>2315942</v>
      </c>
      <c r="F443" s="1">
        <v>1939.6499162478999</v>
      </c>
      <c r="G443" s="1">
        <v>4</v>
      </c>
      <c r="H443" s="1">
        <v>2</v>
      </c>
      <c r="I443" s="1">
        <v>3</v>
      </c>
      <c r="J443" s="1">
        <v>2.5</v>
      </c>
      <c r="K443" s="1">
        <v>2</v>
      </c>
      <c r="L443" s="1">
        <v>1</v>
      </c>
      <c r="M443" s="4">
        <v>1194</v>
      </c>
      <c r="N443" s="1">
        <v>1248</v>
      </c>
      <c r="O443" s="1">
        <v>2939</v>
      </c>
      <c r="P443" s="1">
        <v>1691</v>
      </c>
      <c r="Q443" s="1" t="s">
        <v>42</v>
      </c>
      <c r="S443" s="1" t="s">
        <v>42</v>
      </c>
      <c r="T443" s="1" t="s">
        <v>153</v>
      </c>
      <c r="V443" s="5">
        <v>43649</v>
      </c>
      <c r="W443" s="5">
        <v>43188</v>
      </c>
      <c r="X443" s="1">
        <v>2295000</v>
      </c>
      <c r="Y443" s="1">
        <v>2295000</v>
      </c>
      <c r="Z443" s="5">
        <v>43188</v>
      </c>
      <c r="AA443" s="1">
        <v>2315942</v>
      </c>
      <c r="AB443" s="1" t="s">
        <v>344</v>
      </c>
      <c r="AC443" s="5">
        <v>43221</v>
      </c>
      <c r="AF443" s="1">
        <v>10009</v>
      </c>
      <c r="AI443" s="1" t="s">
        <v>71</v>
      </c>
      <c r="AJ443" s="1">
        <v>2017</v>
      </c>
      <c r="AK443" s="1" t="s">
        <v>49</v>
      </c>
      <c r="AL443" s="1">
        <v>82</v>
      </c>
    </row>
    <row r="444" spans="1:38" x14ac:dyDescent="0.2">
      <c r="A444" s="2" t="str">
        <f>HYPERLINK("https://www.compass.com/listing/438-east-12th-street-unit-2q-manhattan-ny-10009/29514451275298273/","438 E 12th St, Unit 2Q")</f>
        <v>438 E 12th St, Unit 2Q</v>
      </c>
      <c r="B444" s="2" t="str">
        <f t="shared" si="64"/>
        <v>Steiner East Village</v>
      </c>
      <c r="C444" s="1" t="s">
        <v>52</v>
      </c>
      <c r="D444" s="1" t="s">
        <v>41</v>
      </c>
      <c r="E444" s="3">
        <v>1400000</v>
      </c>
      <c r="F444" s="1">
        <v>1603.6655211912901</v>
      </c>
      <c r="G444" s="1">
        <v>3</v>
      </c>
      <c r="H444" s="1">
        <v>1</v>
      </c>
      <c r="I444" s="1">
        <v>2</v>
      </c>
      <c r="J444" s="1">
        <v>1.5</v>
      </c>
      <c r="K444" s="1">
        <v>1</v>
      </c>
      <c r="L444" s="1">
        <v>1</v>
      </c>
      <c r="M444" s="1">
        <v>873</v>
      </c>
      <c r="N444" s="1">
        <v>912</v>
      </c>
      <c r="O444" s="1">
        <v>2732</v>
      </c>
      <c r="P444" s="1">
        <v>1820</v>
      </c>
      <c r="Q444" s="1" t="s">
        <v>42</v>
      </c>
      <c r="S444" s="1" t="s">
        <v>42</v>
      </c>
      <c r="T444" s="1" t="s">
        <v>153</v>
      </c>
      <c r="U444" s="1">
        <v>250</v>
      </c>
      <c r="V444" s="5">
        <v>43851</v>
      </c>
      <c r="W444" s="5">
        <v>43211</v>
      </c>
      <c r="X444" s="1">
        <v>1699000</v>
      </c>
      <c r="Y444" s="1">
        <v>1495000</v>
      </c>
      <c r="Z444" s="5">
        <v>43461</v>
      </c>
      <c r="AA444" s="1">
        <v>1400000</v>
      </c>
      <c r="AB444" s="1" t="s">
        <v>345</v>
      </c>
      <c r="AC444" s="5">
        <v>43497</v>
      </c>
      <c r="AF444" s="1">
        <v>10009</v>
      </c>
      <c r="AI444" s="1" t="s">
        <v>71</v>
      </c>
      <c r="AJ444" s="1">
        <v>2017</v>
      </c>
      <c r="AK444" s="1" t="s">
        <v>46</v>
      </c>
      <c r="AL444" s="1">
        <v>82</v>
      </c>
    </row>
    <row r="445" spans="1:38" x14ac:dyDescent="0.2">
      <c r="A445" s="2" t="str">
        <f>HYPERLINK("https://www.compass.com/listing/160-west-12th-street-unit-98-manhattan-ny-10011/29367266076391665/","160 W 12th St, Unit 98")</f>
        <v>160 W 12th St, Unit 98</v>
      </c>
      <c r="B445" s="2" t="str">
        <f>HYPERLINK("https://www.compass.com/building/the-greenwich-lane-manhattan-ny/282059161326355877/","The Greenwich Lane")</f>
        <v>The Greenwich Lane</v>
      </c>
      <c r="C445" s="1" t="s">
        <v>40</v>
      </c>
      <c r="D445" s="1" t="s">
        <v>41</v>
      </c>
      <c r="E445" s="3">
        <v>7500000</v>
      </c>
      <c r="F445" s="1">
        <v>3058.7275693311499</v>
      </c>
      <c r="G445" s="1">
        <v>5</v>
      </c>
      <c r="H445" s="1">
        <v>3</v>
      </c>
      <c r="I445" s="1">
        <v>3</v>
      </c>
      <c r="J445" s="1">
        <v>3.5</v>
      </c>
      <c r="K445" s="1">
        <v>3</v>
      </c>
      <c r="L445" s="1">
        <v>1</v>
      </c>
      <c r="M445" s="4">
        <v>2452</v>
      </c>
      <c r="N445" s="1">
        <v>4313.62</v>
      </c>
      <c r="O445" s="1">
        <v>9795.0400000000009</v>
      </c>
      <c r="P445" s="1">
        <v>5481.4166666666597</v>
      </c>
      <c r="Q445" s="1" t="s">
        <v>42</v>
      </c>
      <c r="S445" s="1" t="s">
        <v>42</v>
      </c>
      <c r="T445" s="1" t="s">
        <v>153</v>
      </c>
      <c r="U445" s="1">
        <v>182</v>
      </c>
      <c r="V445" s="5">
        <v>43640</v>
      </c>
      <c r="W445" s="5">
        <v>42915</v>
      </c>
      <c r="X445" s="1">
        <v>8995000</v>
      </c>
      <c r="Y445" s="1">
        <v>7495000</v>
      </c>
      <c r="Z445" s="5">
        <v>43097</v>
      </c>
      <c r="AA445" s="1">
        <v>7500000</v>
      </c>
      <c r="AB445" s="1" t="s">
        <v>346</v>
      </c>
      <c r="AC445" s="5">
        <v>43123</v>
      </c>
      <c r="AF445" s="1">
        <v>10011</v>
      </c>
      <c r="AI445" s="1" t="s">
        <v>45</v>
      </c>
      <c r="AJ445" s="1">
        <v>2016</v>
      </c>
      <c r="AK445" s="1" t="s">
        <v>46</v>
      </c>
      <c r="AL445" s="1">
        <v>57</v>
      </c>
    </row>
    <row r="446" spans="1:38" x14ac:dyDescent="0.2">
      <c r="A446" s="2" t="str">
        <f>HYPERLINK("https://www.compass.com/listing/438-east-12th-street-unit-5d-manhattan-ny-10009/70920165071605857/","438 E 12th St, Unit 5D")</f>
        <v>438 E 12th St, Unit 5D</v>
      </c>
      <c r="B446" s="2" t="str">
        <f t="shared" ref="B446:B447" si="65">HYPERLINK("https://www.compass.com/building/steiner-east-village-manhattan-ny/281900317572873557/","Steiner East Village")</f>
        <v>Steiner East Village</v>
      </c>
      <c r="C446" s="1" t="s">
        <v>52</v>
      </c>
      <c r="D446" s="1" t="s">
        <v>41</v>
      </c>
      <c r="E446" s="3">
        <v>3304884</v>
      </c>
      <c r="F446" s="1">
        <v>2021.33577981651</v>
      </c>
      <c r="G446" s="1">
        <v>6</v>
      </c>
      <c r="H446" s="1">
        <v>3</v>
      </c>
      <c r="I446" s="1">
        <v>3</v>
      </c>
      <c r="J446" s="1">
        <v>3</v>
      </c>
      <c r="M446" s="4">
        <v>1635</v>
      </c>
      <c r="N446" s="1">
        <v>1719</v>
      </c>
      <c r="O446" s="1">
        <v>4049</v>
      </c>
      <c r="P446" s="1">
        <v>2330</v>
      </c>
      <c r="Q446" s="1" t="s">
        <v>42</v>
      </c>
      <c r="S446" s="1" t="s">
        <v>42</v>
      </c>
      <c r="T446" s="1" t="s">
        <v>153</v>
      </c>
      <c r="V446" s="5">
        <v>43643</v>
      </c>
      <c r="W446" s="5">
        <v>42841</v>
      </c>
      <c r="X446" s="1">
        <v>3275000</v>
      </c>
      <c r="Y446" s="1">
        <v>3275000</v>
      </c>
      <c r="Z446" s="5">
        <v>42841</v>
      </c>
      <c r="AA446" s="1">
        <v>3304884</v>
      </c>
      <c r="AB446" s="1" t="s">
        <v>347</v>
      </c>
      <c r="AC446" s="5">
        <v>43106</v>
      </c>
      <c r="AF446" s="1">
        <v>10009</v>
      </c>
      <c r="AI446" s="1" t="s">
        <v>71</v>
      </c>
      <c r="AJ446" s="1">
        <v>2017</v>
      </c>
      <c r="AK446" s="1" t="s">
        <v>49</v>
      </c>
      <c r="AL446" s="1">
        <v>82</v>
      </c>
    </row>
    <row r="447" spans="1:38" x14ac:dyDescent="0.2">
      <c r="A447" s="2" t="str">
        <f>HYPERLINK("https://www.compass.com/listing/438-east-12th-street-unit-gardenc-manhattan-ny-10009/735876751606777249/","438 E 12th St, Unit GARDENC")</f>
        <v>438 E 12th St, Unit GARDENC</v>
      </c>
      <c r="B447" s="2" t="str">
        <f t="shared" si="65"/>
        <v>Steiner East Village</v>
      </c>
      <c r="C447" s="1" t="s">
        <v>52</v>
      </c>
      <c r="D447" s="1" t="s">
        <v>41</v>
      </c>
      <c r="E447" s="3">
        <v>2349000</v>
      </c>
      <c r="F447" s="1">
        <v>2191.2313432835799</v>
      </c>
      <c r="G447" s="1">
        <v>4</v>
      </c>
      <c r="H447" s="1">
        <v>2</v>
      </c>
      <c r="J447" s="1">
        <v>2</v>
      </c>
      <c r="M447" s="4">
        <v>1072</v>
      </c>
      <c r="N447" s="1">
        <v>1308</v>
      </c>
      <c r="O447" s="1">
        <v>3549</v>
      </c>
      <c r="P447" s="1">
        <v>2241</v>
      </c>
      <c r="S447" s="1" t="s">
        <v>42</v>
      </c>
      <c r="T447" s="1" t="s">
        <v>153</v>
      </c>
      <c r="U447" s="1">
        <v>69</v>
      </c>
      <c r="V447" s="5">
        <v>44421</v>
      </c>
      <c r="W447" s="5">
        <v>44266</v>
      </c>
      <c r="X447" s="1">
        <v>2349000</v>
      </c>
      <c r="Y447" s="1">
        <v>2349000</v>
      </c>
      <c r="Z447" s="5">
        <v>44335</v>
      </c>
      <c r="AA447" s="1">
        <v>2349000</v>
      </c>
      <c r="AB447" s="1" t="s">
        <v>177</v>
      </c>
      <c r="AC447" s="5">
        <v>44419</v>
      </c>
      <c r="AF447" s="1">
        <v>10009</v>
      </c>
      <c r="AI447" s="1" t="s">
        <v>53</v>
      </c>
      <c r="AJ447" s="1">
        <v>2017</v>
      </c>
      <c r="AK447" s="1" t="s">
        <v>49</v>
      </c>
      <c r="AL447" s="1">
        <v>82</v>
      </c>
    </row>
    <row r="448" spans="1:38" x14ac:dyDescent="0.2">
      <c r="A448" s="2" t="str">
        <f>HYPERLINK("https://www.compass.com/listing/2-park-place-unit-47b-manhattan-ny-10007/803395527718934825/","2 Park Pl, Unit 47B")</f>
        <v>2 Park Pl, Unit 47B</v>
      </c>
      <c r="B448" s="2" t="str">
        <f t="shared" ref="B448:B449" si="66">HYPERLINK("https://www.compass.com/building/the-woolworth-tower-residences-manhattan-ny/294842395015266853/","The Woolworth Tower Residences")</f>
        <v>The Woolworth Tower Residences</v>
      </c>
      <c r="C448" s="1" t="s">
        <v>65</v>
      </c>
      <c r="D448" s="1" t="s">
        <v>41</v>
      </c>
      <c r="E448" s="3">
        <v>4862144</v>
      </c>
      <c r="F448" s="1">
        <v>3757.4526661514601</v>
      </c>
      <c r="G448" s="1">
        <v>3</v>
      </c>
      <c r="H448" s="1">
        <v>1</v>
      </c>
      <c r="I448" s="1">
        <v>2</v>
      </c>
      <c r="J448" s="1">
        <v>1.5</v>
      </c>
      <c r="M448" s="4">
        <v>1294</v>
      </c>
      <c r="N448" s="1">
        <v>1957</v>
      </c>
      <c r="O448" s="1">
        <v>3787</v>
      </c>
      <c r="P448" s="1">
        <v>1830</v>
      </c>
      <c r="Q448" s="1" t="s">
        <v>42</v>
      </c>
      <c r="S448" s="1" t="s">
        <v>42</v>
      </c>
      <c r="T448" s="1" t="s">
        <v>153</v>
      </c>
      <c r="V448" s="5">
        <v>43153</v>
      </c>
      <c r="W448" s="5">
        <v>42766</v>
      </c>
      <c r="X448" s="1">
        <v>4775000</v>
      </c>
      <c r="Y448" s="1">
        <v>4775000</v>
      </c>
      <c r="Z448" s="5">
        <v>42972</v>
      </c>
      <c r="AA448" s="1">
        <v>4862143.75</v>
      </c>
      <c r="AB448" s="1" t="s">
        <v>348</v>
      </c>
      <c r="AC448" s="5">
        <v>43271</v>
      </c>
      <c r="AF448" s="1">
        <v>10007</v>
      </c>
      <c r="AJ448" s="1">
        <v>1913</v>
      </c>
      <c r="AK448" s="1" t="s">
        <v>46</v>
      </c>
      <c r="AL448" s="1">
        <v>32</v>
      </c>
    </row>
    <row r="449" spans="1:38" x14ac:dyDescent="0.2">
      <c r="A449" s="2" t="str">
        <f>HYPERLINK("https://www.compass.com/listing/2-park-place-unit-38a-manhattan-ny-10007/157883735159610241/","2 Park Pl, Unit 38A")</f>
        <v>2 Park Pl, Unit 38A</v>
      </c>
      <c r="B449" s="2" t="str">
        <f t="shared" si="66"/>
        <v>The Woolworth Tower Residences</v>
      </c>
      <c r="C449" s="1" t="s">
        <v>65</v>
      </c>
      <c r="D449" s="1" t="s">
        <v>41</v>
      </c>
      <c r="E449" s="3">
        <v>7000000</v>
      </c>
      <c r="F449" s="1">
        <v>2132.84582571602</v>
      </c>
      <c r="G449" s="1">
        <v>5</v>
      </c>
      <c r="H449" s="1">
        <v>3</v>
      </c>
      <c r="I449" s="1">
        <v>4</v>
      </c>
      <c r="J449" s="1">
        <v>3.5</v>
      </c>
      <c r="K449" s="1">
        <v>3</v>
      </c>
      <c r="L449" s="1">
        <v>1</v>
      </c>
      <c r="M449" s="4">
        <v>3282</v>
      </c>
      <c r="N449" s="1">
        <v>5659</v>
      </c>
      <c r="O449" s="1">
        <v>10283</v>
      </c>
      <c r="P449" s="1">
        <v>4624</v>
      </c>
      <c r="Q449" s="1" t="s">
        <v>42</v>
      </c>
      <c r="S449" s="1" t="s">
        <v>42</v>
      </c>
      <c r="T449" s="1" t="s">
        <v>153</v>
      </c>
      <c r="U449" s="1">
        <v>15</v>
      </c>
      <c r="V449" s="5">
        <v>44359</v>
      </c>
      <c r="W449" s="5">
        <v>44301</v>
      </c>
      <c r="X449" s="1">
        <v>7350000</v>
      </c>
      <c r="Y449" s="1">
        <v>7350000</v>
      </c>
      <c r="Z449" s="5">
        <v>44317</v>
      </c>
      <c r="AA449" s="1">
        <v>7000000</v>
      </c>
      <c r="AB449" s="1" t="s">
        <v>349</v>
      </c>
      <c r="AC449" s="5">
        <v>44351</v>
      </c>
      <c r="AF449" s="1">
        <v>10007</v>
      </c>
      <c r="AJ449" s="1">
        <v>1913</v>
      </c>
      <c r="AK449" s="1" t="s">
        <v>46</v>
      </c>
      <c r="AL449" s="1">
        <v>32</v>
      </c>
    </row>
    <row r="450" spans="1:38" x14ac:dyDescent="0.2">
      <c r="A450" s="2" t="str">
        <f>HYPERLINK("https://www.compass.com/listing/160-east-22nd-street-unit-6d-manhattan-ny-10010/612988726026877265/","160 E 22nd St, Unit 6D")</f>
        <v>160 E 22nd St, Unit 6D</v>
      </c>
      <c r="B450" s="2" t="str">
        <f>HYPERLINK("https://www.compass.com/building/160-e-22nd-st-manhattan-ny-10010/292796862321154661/","160 E 22nd St")</f>
        <v>160 E 22nd St</v>
      </c>
      <c r="C450" s="1" t="s">
        <v>54</v>
      </c>
      <c r="D450" s="1" t="s">
        <v>41</v>
      </c>
      <c r="E450" s="3">
        <v>1850000</v>
      </c>
      <c r="F450" s="1">
        <v>1624.2317822651401</v>
      </c>
      <c r="G450" s="1">
        <v>4</v>
      </c>
      <c r="H450" s="1">
        <v>2</v>
      </c>
      <c r="I450" s="1">
        <v>2</v>
      </c>
      <c r="J450" s="1">
        <v>2</v>
      </c>
      <c r="K450" s="1">
        <v>2</v>
      </c>
      <c r="M450" s="4">
        <v>1139</v>
      </c>
      <c r="N450" s="1">
        <v>1376</v>
      </c>
      <c r="O450" s="1">
        <v>3782</v>
      </c>
      <c r="P450" s="1">
        <v>2406</v>
      </c>
      <c r="Q450" s="1" t="s">
        <v>42</v>
      </c>
      <c r="S450" s="1" t="s">
        <v>42</v>
      </c>
      <c r="T450" s="1" t="s">
        <v>153</v>
      </c>
      <c r="U450" s="1">
        <v>83</v>
      </c>
      <c r="V450" s="5">
        <v>44399</v>
      </c>
      <c r="W450" s="5">
        <v>44098</v>
      </c>
      <c r="X450" s="1">
        <v>2250000</v>
      </c>
      <c r="Y450" s="1">
        <v>1975000</v>
      </c>
      <c r="Z450" s="5">
        <v>44181</v>
      </c>
      <c r="AA450" s="1">
        <v>1850000</v>
      </c>
      <c r="AB450" s="1" t="s">
        <v>350</v>
      </c>
      <c r="AC450" s="5">
        <v>44236</v>
      </c>
      <c r="AF450" s="1">
        <v>10010</v>
      </c>
      <c r="AI450" s="1" t="s">
        <v>91</v>
      </c>
      <c r="AJ450" s="1">
        <v>2012</v>
      </c>
      <c r="AK450" s="1" t="s">
        <v>46</v>
      </c>
      <c r="AL450" s="1">
        <v>81</v>
      </c>
    </row>
    <row r="451" spans="1:38" x14ac:dyDescent="0.2">
      <c r="A451" s="2" t="str">
        <f>HYPERLINK("https://www.compass.com/listing/71-reade-street-unit-pha-manhattan-ny-10007/212937580155534257/","71 Reade St, Unit PHA")</f>
        <v>71 Reade St, Unit PHA</v>
      </c>
      <c r="B451" s="2" t="str">
        <f>HYPERLINK("https://www.compass.com/building/reade-chambers-manhattan-ny/281897219919982101/","Reade Chambers")</f>
        <v>Reade Chambers</v>
      </c>
      <c r="C451" s="1" t="s">
        <v>65</v>
      </c>
      <c r="D451" s="1" t="s">
        <v>41</v>
      </c>
      <c r="E451" s="3">
        <v>7867129</v>
      </c>
      <c r="F451" s="1">
        <v>2677.7157930564999</v>
      </c>
      <c r="G451" s="1">
        <v>7</v>
      </c>
      <c r="H451" s="1">
        <v>4</v>
      </c>
      <c r="I451" s="1">
        <v>5</v>
      </c>
      <c r="J451" s="1">
        <v>4.5</v>
      </c>
      <c r="M451" s="4">
        <v>2938</v>
      </c>
      <c r="N451" s="1">
        <v>6058</v>
      </c>
      <c r="O451" s="1">
        <v>8173</v>
      </c>
      <c r="P451" s="1">
        <v>2115</v>
      </c>
      <c r="Q451" s="1" t="s">
        <v>42</v>
      </c>
      <c r="S451" s="1" t="s">
        <v>42</v>
      </c>
      <c r="T451" s="1" t="s">
        <v>153</v>
      </c>
      <c r="U451" s="1">
        <v>247</v>
      </c>
      <c r="V451" s="5">
        <v>43678</v>
      </c>
      <c r="W451" s="5">
        <v>42221</v>
      </c>
      <c r="X451" s="1">
        <v>8950000</v>
      </c>
      <c r="Y451" s="1">
        <v>7995000</v>
      </c>
      <c r="Z451" s="5">
        <v>42468</v>
      </c>
      <c r="AA451" s="1">
        <v>7867129</v>
      </c>
      <c r="AB451" s="1" t="s">
        <v>177</v>
      </c>
      <c r="AC451" s="5">
        <v>42476</v>
      </c>
      <c r="AF451" s="1">
        <v>10007</v>
      </c>
      <c r="AI451" s="1" t="s">
        <v>88</v>
      </c>
      <c r="AJ451" s="1">
        <v>2015</v>
      </c>
      <c r="AK451" s="1" t="s">
        <v>99</v>
      </c>
      <c r="AL451" s="1">
        <v>18</v>
      </c>
    </row>
    <row r="452" spans="1:38" x14ac:dyDescent="0.2">
      <c r="A452" s="2" t="str">
        <f>HYPERLINK("https://www.compass.com/listing/215-sullivan-street-unit-tha-manhattan-ny-10012/70919538660636961/","215 Sullivan St, Unit THA")</f>
        <v>215 Sullivan St, Unit THA</v>
      </c>
      <c r="B452" s="2" t="str">
        <f>HYPERLINK("https://www.compass.com/building/215-sullivan-st-manhattan-ny-10012/292810405493901557/","215 Sullivan St")</f>
        <v>215 Sullivan St</v>
      </c>
      <c r="C452" s="1" t="s">
        <v>159</v>
      </c>
      <c r="D452" s="1" t="s">
        <v>41</v>
      </c>
      <c r="E452" s="3">
        <v>17403530</v>
      </c>
      <c r="F452" s="1">
        <v>2340.4424421732101</v>
      </c>
      <c r="G452" s="1">
        <v>17</v>
      </c>
      <c r="H452" s="1">
        <v>5</v>
      </c>
      <c r="I452" s="1">
        <v>7</v>
      </c>
      <c r="J452" s="1">
        <v>7</v>
      </c>
      <c r="M452" s="4">
        <v>7436</v>
      </c>
      <c r="N452" s="1">
        <v>9067</v>
      </c>
      <c r="O452" s="1">
        <v>9067</v>
      </c>
      <c r="Q452" s="1" t="s">
        <v>42</v>
      </c>
      <c r="S452" s="1" t="s">
        <v>42</v>
      </c>
      <c r="T452" s="1" t="s">
        <v>153</v>
      </c>
      <c r="V452" s="5">
        <v>43678</v>
      </c>
      <c r="W452" s="5">
        <v>41976</v>
      </c>
      <c r="X452" s="1">
        <v>17250000</v>
      </c>
      <c r="Y452" s="1">
        <v>17250000</v>
      </c>
      <c r="Z452" s="5">
        <v>41976</v>
      </c>
      <c r="AA452" s="1">
        <v>17403530</v>
      </c>
      <c r="AB452" s="1" t="s">
        <v>351</v>
      </c>
      <c r="AC452" s="5">
        <v>42431</v>
      </c>
      <c r="AF452" s="1">
        <v>10012</v>
      </c>
      <c r="AI452" s="1" t="s">
        <v>80</v>
      </c>
      <c r="AJ452" s="1">
        <v>2014</v>
      </c>
      <c r="AK452" s="1" t="s">
        <v>86</v>
      </c>
      <c r="AL452" s="1">
        <v>25</v>
      </c>
    </row>
    <row r="453" spans="1:38" x14ac:dyDescent="0.2">
      <c r="A453" s="2" t="str">
        <f>HYPERLINK("https://www.compass.com/listing/160-west-12th-street-unit-42-manhattan-ny-10011/29367252486846465/","160 W 12th St, Unit 42")</f>
        <v>160 W 12th St, Unit 42</v>
      </c>
      <c r="B453" s="2" t="str">
        <f t="shared" ref="B453:B455" si="67">HYPERLINK("https://www.compass.com/building/the-greenwich-lane-manhattan-ny/282059161326355877/","The Greenwich Lane")</f>
        <v>The Greenwich Lane</v>
      </c>
      <c r="C453" s="1" t="s">
        <v>40</v>
      </c>
      <c r="D453" s="1" t="s">
        <v>41</v>
      </c>
      <c r="E453" s="3">
        <v>2429375</v>
      </c>
      <c r="F453" s="1">
        <v>2573.4904661016899</v>
      </c>
      <c r="G453" s="1">
        <v>3</v>
      </c>
      <c r="H453" s="1">
        <v>1</v>
      </c>
      <c r="I453" s="1">
        <v>1</v>
      </c>
      <c r="J453" s="1">
        <v>1</v>
      </c>
      <c r="K453" s="1">
        <v>1</v>
      </c>
      <c r="M453" s="1">
        <v>944</v>
      </c>
      <c r="N453" s="1">
        <v>1620</v>
      </c>
      <c r="O453" s="1">
        <v>3484</v>
      </c>
      <c r="P453" s="1">
        <v>1864</v>
      </c>
      <c r="Q453" s="1" t="s">
        <v>42</v>
      </c>
      <c r="S453" s="1" t="s">
        <v>42</v>
      </c>
      <c r="T453" s="1" t="s">
        <v>153</v>
      </c>
      <c r="U453" s="1">
        <v>4</v>
      </c>
      <c r="V453" s="5">
        <v>43678</v>
      </c>
      <c r="W453" s="5">
        <v>41673</v>
      </c>
      <c r="X453" s="1">
        <v>2345000</v>
      </c>
      <c r="Y453" s="1">
        <v>2380000</v>
      </c>
      <c r="Z453" s="5">
        <v>41677</v>
      </c>
      <c r="AA453" s="1">
        <v>2429375</v>
      </c>
      <c r="AB453" s="1" t="s">
        <v>352</v>
      </c>
      <c r="AC453" s="5">
        <v>42497</v>
      </c>
      <c r="AF453" s="1">
        <v>10011</v>
      </c>
      <c r="AI453" s="1" t="s">
        <v>236</v>
      </c>
      <c r="AJ453" s="1">
        <v>2016</v>
      </c>
      <c r="AK453" s="1" t="s">
        <v>46</v>
      </c>
      <c r="AL453" s="1">
        <v>57</v>
      </c>
    </row>
    <row r="454" spans="1:38" x14ac:dyDescent="0.2">
      <c r="A454" s="2" t="str">
        <f>HYPERLINK("https://www.compass.com/listing/160-west-12th-street-unit-62-manhattan-ny-10011/29367257696172113/","160 W 12th St, Unit 62")</f>
        <v>160 W 12th St, Unit 62</v>
      </c>
      <c r="B454" s="2" t="str">
        <f t="shared" si="67"/>
        <v>The Greenwich Lane</v>
      </c>
      <c r="C454" s="1" t="s">
        <v>40</v>
      </c>
      <c r="D454" s="1" t="s">
        <v>41</v>
      </c>
      <c r="E454" s="3">
        <v>2490528</v>
      </c>
      <c r="F454" s="1">
        <v>2641.0689289501502</v>
      </c>
      <c r="G454" s="1">
        <v>3</v>
      </c>
      <c r="H454" s="1">
        <v>1</v>
      </c>
      <c r="I454" s="1">
        <v>1</v>
      </c>
      <c r="J454" s="1">
        <v>1</v>
      </c>
      <c r="K454" s="1">
        <v>1</v>
      </c>
      <c r="M454" s="1">
        <v>943</v>
      </c>
      <c r="N454" s="1">
        <v>1637</v>
      </c>
      <c r="O454" s="1">
        <v>3241</v>
      </c>
      <c r="P454" s="1">
        <v>1604</v>
      </c>
      <c r="Q454" s="1" t="s">
        <v>42</v>
      </c>
      <c r="S454" s="1" t="s">
        <v>42</v>
      </c>
      <c r="T454" s="1" t="s">
        <v>153</v>
      </c>
      <c r="V454" s="5">
        <v>43631</v>
      </c>
      <c r="W454" s="5">
        <v>41693</v>
      </c>
      <c r="X454" s="1">
        <v>2475000</v>
      </c>
      <c r="Y454" s="1">
        <v>2475000</v>
      </c>
      <c r="Z454" s="5">
        <v>41693</v>
      </c>
      <c r="AA454" s="1">
        <v>2490528</v>
      </c>
      <c r="AB454" s="1" t="s">
        <v>353</v>
      </c>
      <c r="AC454" s="5">
        <v>42453</v>
      </c>
      <c r="AF454" s="1">
        <v>10011</v>
      </c>
      <c r="AI454" s="1" t="s">
        <v>45</v>
      </c>
      <c r="AJ454" s="1">
        <v>2016</v>
      </c>
      <c r="AK454" s="1" t="s">
        <v>46</v>
      </c>
      <c r="AL454" s="1">
        <v>57</v>
      </c>
    </row>
    <row r="455" spans="1:38" x14ac:dyDescent="0.2">
      <c r="A455" s="2" t="str">
        <f>HYPERLINK("https://www.compass.com/listing/160-west-12th-street-unit-35-manhattan-ny-10011/803335085390438625/","160 W 12th St, Unit 35")</f>
        <v>160 W 12th St, Unit 35</v>
      </c>
      <c r="B455" s="2" t="str">
        <f t="shared" si="67"/>
        <v>The Greenwich Lane</v>
      </c>
      <c r="C455" s="1" t="s">
        <v>40</v>
      </c>
      <c r="D455" s="1" t="s">
        <v>41</v>
      </c>
      <c r="E455" s="3">
        <v>2240649</v>
      </c>
      <c r="F455" s="1">
        <v>2509.1256438969699</v>
      </c>
      <c r="G455" s="1">
        <v>3</v>
      </c>
      <c r="H455" s="1">
        <v>1</v>
      </c>
      <c r="I455" s="1">
        <v>1</v>
      </c>
      <c r="J455" s="1">
        <v>1</v>
      </c>
      <c r="K455" s="1">
        <v>1</v>
      </c>
      <c r="M455" s="1">
        <v>893</v>
      </c>
      <c r="N455" s="1">
        <v>1525</v>
      </c>
      <c r="O455" s="1">
        <v>3020</v>
      </c>
      <c r="P455" s="1">
        <v>1495</v>
      </c>
      <c r="Q455" s="1" t="s">
        <v>42</v>
      </c>
      <c r="S455" s="1" t="s">
        <v>42</v>
      </c>
      <c r="T455" s="1" t="s">
        <v>153</v>
      </c>
      <c r="U455" s="1">
        <v>87</v>
      </c>
      <c r="V455" s="5">
        <v>42474</v>
      </c>
      <c r="W455" s="5">
        <v>41772</v>
      </c>
      <c r="X455" s="1">
        <v>2120000</v>
      </c>
      <c r="Y455" s="1">
        <v>2195000</v>
      </c>
      <c r="Z455" s="5">
        <v>41860</v>
      </c>
      <c r="AA455" s="1">
        <v>2240649.2000000002</v>
      </c>
      <c r="AB455" s="1" t="s">
        <v>354</v>
      </c>
      <c r="AC455" s="5">
        <v>42450</v>
      </c>
      <c r="AF455" s="1">
        <v>10011</v>
      </c>
      <c r="AI455" s="1" t="s">
        <v>45</v>
      </c>
      <c r="AJ455" s="1">
        <v>2016</v>
      </c>
      <c r="AK455" s="1" t="s">
        <v>46</v>
      </c>
      <c r="AL455" s="1">
        <v>57</v>
      </c>
    </row>
    <row r="456" spans="1:38" x14ac:dyDescent="0.2">
      <c r="A456" s="2" t="str">
        <f>HYPERLINK("https://www.compass.com/listing/2-park-place-unit-43a-manhattan-ny-10007/647205498951963945/","2 Park Pl, Unit 43A")</f>
        <v>2 Park Pl, Unit 43A</v>
      </c>
      <c r="B456" s="2" t="str">
        <f>HYPERLINK("https://www.compass.com/building/the-woolworth-tower-residences-manhattan-ny/294842395015266853/","The Woolworth Tower Residences")</f>
        <v>The Woolworth Tower Residences</v>
      </c>
      <c r="C456" s="1" t="s">
        <v>65</v>
      </c>
      <c r="D456" s="1" t="s">
        <v>41</v>
      </c>
      <c r="E456" s="3">
        <v>11407500</v>
      </c>
      <c r="F456" s="1">
        <v>2882.8658074298701</v>
      </c>
      <c r="G456" s="1">
        <v>6</v>
      </c>
      <c r="H456" s="1">
        <v>3</v>
      </c>
      <c r="I456" s="1">
        <v>4</v>
      </c>
      <c r="J456" s="1">
        <v>3.5</v>
      </c>
      <c r="K456" s="1">
        <v>3</v>
      </c>
      <c r="L456" s="1">
        <v>1</v>
      </c>
      <c r="M456" s="4">
        <v>3957</v>
      </c>
      <c r="N456" s="1">
        <v>6822</v>
      </c>
      <c r="O456" s="1">
        <v>12397</v>
      </c>
      <c r="P456" s="1">
        <v>5575</v>
      </c>
      <c r="Q456" s="1" t="s">
        <v>42</v>
      </c>
      <c r="S456" s="1" t="s">
        <v>42</v>
      </c>
      <c r="T456" s="1" t="s">
        <v>153</v>
      </c>
      <c r="U456" s="1">
        <v>184</v>
      </c>
      <c r="V456" s="5">
        <v>44373</v>
      </c>
      <c r="W456" s="5">
        <v>44145</v>
      </c>
      <c r="X456" s="1">
        <v>12650000</v>
      </c>
      <c r="Y456" s="1">
        <v>12650000</v>
      </c>
      <c r="Z456" s="5">
        <v>44330</v>
      </c>
      <c r="AA456" s="1">
        <v>11407500</v>
      </c>
      <c r="AB456" s="1" t="s">
        <v>355</v>
      </c>
      <c r="AC456" s="5">
        <v>44362</v>
      </c>
      <c r="AF456" s="1">
        <v>10007</v>
      </c>
      <c r="AJ456" s="1">
        <v>1913</v>
      </c>
      <c r="AK456" s="1" t="s">
        <v>46</v>
      </c>
      <c r="AL456" s="1">
        <v>32</v>
      </c>
    </row>
    <row r="457" spans="1:38" x14ac:dyDescent="0.2">
      <c r="A457" s="2" t="str">
        <f>HYPERLINK("https://www.compass.com/listing/160-west-12th-street-unit-96-manhattan-ny-10011/803336303953067697/","160 W 12th St, Unit 96")</f>
        <v>160 W 12th St, Unit 96</v>
      </c>
      <c r="B457" s="2" t="str">
        <f>HYPERLINK("https://www.compass.com/building/the-greenwich-lane-manhattan-ny/282059161326355877/","The Greenwich Lane")</f>
        <v>The Greenwich Lane</v>
      </c>
      <c r="C457" s="1" t="s">
        <v>40</v>
      </c>
      <c r="D457" s="1" t="s">
        <v>41</v>
      </c>
      <c r="E457" s="3">
        <v>8758750</v>
      </c>
      <c r="F457" s="1">
        <v>3076.48401826484</v>
      </c>
      <c r="G457" s="1">
        <v>8</v>
      </c>
      <c r="H457" s="1">
        <v>3</v>
      </c>
      <c r="I457" s="1">
        <v>3</v>
      </c>
      <c r="J457" s="1">
        <v>3.5</v>
      </c>
      <c r="K457" s="1">
        <v>3</v>
      </c>
      <c r="L457" s="1">
        <v>1</v>
      </c>
      <c r="M457" s="4">
        <v>2847</v>
      </c>
      <c r="N457" s="1">
        <v>5132</v>
      </c>
      <c r="O457" s="1">
        <v>11044</v>
      </c>
      <c r="P457" s="1">
        <v>5912</v>
      </c>
      <c r="Q457" s="1" t="s">
        <v>42</v>
      </c>
      <c r="S457" s="1" t="s">
        <v>42</v>
      </c>
      <c r="T457" s="1" t="s">
        <v>153</v>
      </c>
      <c r="U457" s="1">
        <v>38</v>
      </c>
      <c r="V457" s="5">
        <v>42851</v>
      </c>
      <c r="W457" s="5">
        <v>42745</v>
      </c>
      <c r="X457" s="1">
        <v>8900000</v>
      </c>
      <c r="Y457" s="1">
        <v>8900000</v>
      </c>
      <c r="Z457" s="5">
        <v>42783</v>
      </c>
      <c r="AA457" s="1">
        <v>8758750</v>
      </c>
      <c r="AB457" s="1" t="s">
        <v>356</v>
      </c>
      <c r="AC457" s="5">
        <v>42842</v>
      </c>
      <c r="AF457" s="1">
        <v>10011</v>
      </c>
      <c r="AI457" s="1" t="s">
        <v>80</v>
      </c>
      <c r="AJ457" s="1">
        <v>2016</v>
      </c>
      <c r="AK457" s="1" t="s">
        <v>46</v>
      </c>
      <c r="AL457" s="1">
        <v>57</v>
      </c>
    </row>
    <row r="458" spans="1:38" x14ac:dyDescent="0.2">
      <c r="A458" s="2" t="str">
        <f>HYPERLINK("https://www.compass.com/listing/246-west-16th-street-unit-4-manhattan-ny-10011/740027218003861617/","246 W 16th St, Unit 4")</f>
        <v>246 W 16th St, Unit 4</v>
      </c>
      <c r="B458" s="2" t="str">
        <f>HYPERLINK("https://www.compass.com/building/246-w-16th-st-manhattan-ny-10011/281907837800567589/","246 W 16th St")</f>
        <v>246 W 16th St</v>
      </c>
      <c r="C458" s="1" t="s">
        <v>73</v>
      </c>
      <c r="D458" s="1" t="s">
        <v>41</v>
      </c>
      <c r="E458" s="3">
        <v>3845000</v>
      </c>
      <c r="F458" s="1">
        <v>2366.1538461538398</v>
      </c>
      <c r="G458" s="1">
        <v>6</v>
      </c>
      <c r="H458" s="1">
        <v>3</v>
      </c>
      <c r="I458" s="1">
        <v>3</v>
      </c>
      <c r="J458" s="1">
        <v>2.5</v>
      </c>
      <c r="K458" s="1">
        <v>2</v>
      </c>
      <c r="L458" s="1">
        <v>1</v>
      </c>
      <c r="M458" s="4">
        <v>1625</v>
      </c>
      <c r="N458" s="1">
        <v>751</v>
      </c>
      <c r="O458" s="1">
        <v>1455</v>
      </c>
      <c r="P458" s="1">
        <v>704</v>
      </c>
      <c r="Q458" s="1" t="s">
        <v>42</v>
      </c>
      <c r="S458" s="1" t="s">
        <v>42</v>
      </c>
      <c r="T458" s="1" t="s">
        <v>153</v>
      </c>
      <c r="V458" s="5">
        <v>44385</v>
      </c>
      <c r="W458" s="5">
        <v>44272</v>
      </c>
      <c r="X458" s="1">
        <v>3945000</v>
      </c>
      <c r="Y458" s="1">
        <v>3945000</v>
      </c>
      <c r="Z458" s="5">
        <v>44272</v>
      </c>
      <c r="AA458" s="1">
        <v>3845000</v>
      </c>
      <c r="AB458" s="1" t="s">
        <v>357</v>
      </c>
      <c r="AC458" s="5">
        <v>44362</v>
      </c>
      <c r="AF458" s="1">
        <v>10011</v>
      </c>
      <c r="AI458" s="1" t="s">
        <v>358</v>
      </c>
      <c r="AJ458" s="1">
        <v>2019</v>
      </c>
      <c r="AK458" s="1" t="s">
        <v>359</v>
      </c>
      <c r="AL458" s="1">
        <v>7</v>
      </c>
    </row>
    <row r="459" spans="1:38" x14ac:dyDescent="0.2">
      <c r="A459" s="2" t="str">
        <f>HYPERLINK("https://www.compass.com/listing/438-east-12th-street-unit-5r-manhattan-ny-10009/29361666965764513/","438 E 12th St, Unit 5R")</f>
        <v>438 E 12th St, Unit 5R</v>
      </c>
      <c r="B459" s="2" t="str">
        <f>HYPERLINK("https://www.compass.com/building/steiner-east-village-manhattan-ny/281900317572873557/","Steiner East Village")</f>
        <v>Steiner East Village</v>
      </c>
      <c r="C459" s="1" t="s">
        <v>52</v>
      </c>
      <c r="D459" s="1" t="s">
        <v>41</v>
      </c>
      <c r="E459" s="3">
        <v>3450000</v>
      </c>
      <c r="F459" s="1">
        <v>2150.8728179551099</v>
      </c>
      <c r="G459" s="1">
        <v>5</v>
      </c>
      <c r="H459" s="1">
        <v>3</v>
      </c>
      <c r="I459" s="1">
        <v>3</v>
      </c>
      <c r="J459" s="1">
        <v>3</v>
      </c>
      <c r="K459" s="1">
        <v>3</v>
      </c>
      <c r="M459" s="4">
        <v>1604</v>
      </c>
      <c r="N459" s="1">
        <v>1676</v>
      </c>
      <c r="O459" s="1">
        <v>3948</v>
      </c>
      <c r="P459" s="1">
        <v>2272</v>
      </c>
      <c r="Q459" s="1" t="s">
        <v>42</v>
      </c>
      <c r="S459" s="1" t="s">
        <v>42</v>
      </c>
      <c r="T459" s="1" t="s">
        <v>153</v>
      </c>
      <c r="U459" s="1">
        <v>123</v>
      </c>
      <c r="V459" s="5">
        <v>43606</v>
      </c>
      <c r="W459" s="5">
        <v>42905</v>
      </c>
      <c r="X459" s="1">
        <v>3450000</v>
      </c>
      <c r="Y459" s="1">
        <v>3450000</v>
      </c>
      <c r="Z459" s="5">
        <v>43029</v>
      </c>
      <c r="AA459" s="1">
        <v>3450000</v>
      </c>
      <c r="AB459" s="1" t="s">
        <v>360</v>
      </c>
      <c r="AC459" s="5">
        <v>43165</v>
      </c>
      <c r="AF459" s="1">
        <v>10009</v>
      </c>
      <c r="AI459" s="1" t="s">
        <v>71</v>
      </c>
      <c r="AJ459" s="1">
        <v>2017</v>
      </c>
      <c r="AK459" s="1" t="s">
        <v>49</v>
      </c>
      <c r="AL459" s="1">
        <v>82</v>
      </c>
    </row>
    <row r="460" spans="1:38" x14ac:dyDescent="0.2">
      <c r="A460" s="2" t="str">
        <f>HYPERLINK("https://www.compass.com/listing/2-park-place-unit-47b-manhattan-ny-10007/16651947323020737/","2 Park Pl, Unit 47B")</f>
        <v>2 Park Pl, Unit 47B</v>
      </c>
      <c r="B460" s="2" t="str">
        <f>HYPERLINK("https://www.compass.com/building/the-woolworth-tower-residences-manhattan-ny/294842395015266853/","The Woolworth Tower Residences")</f>
        <v>The Woolworth Tower Residences</v>
      </c>
      <c r="C460" s="1" t="s">
        <v>65</v>
      </c>
      <c r="D460" s="1" t="s">
        <v>41</v>
      </c>
      <c r="E460" s="3">
        <v>4862144</v>
      </c>
      <c r="F460" s="1">
        <v>3757.4528593508498</v>
      </c>
      <c r="G460" s="1">
        <v>3</v>
      </c>
      <c r="H460" s="1">
        <v>1</v>
      </c>
      <c r="I460" s="1">
        <v>2</v>
      </c>
      <c r="J460" s="1">
        <v>1.5</v>
      </c>
      <c r="K460" s="1">
        <v>1</v>
      </c>
      <c r="L460" s="1">
        <v>1</v>
      </c>
      <c r="M460" s="4">
        <v>1294</v>
      </c>
      <c r="N460" s="1">
        <v>1957</v>
      </c>
      <c r="O460" s="1">
        <v>3787</v>
      </c>
      <c r="P460" s="1">
        <v>1830</v>
      </c>
      <c r="Q460" s="1" t="s">
        <v>42</v>
      </c>
      <c r="S460" s="1" t="s">
        <v>42</v>
      </c>
      <c r="T460" s="1" t="s">
        <v>153</v>
      </c>
      <c r="V460" s="5">
        <v>44342</v>
      </c>
      <c r="W460" s="5">
        <v>42767</v>
      </c>
      <c r="X460" s="1">
        <v>4775000</v>
      </c>
      <c r="Y460" s="1">
        <v>4775000</v>
      </c>
      <c r="Z460" s="5">
        <v>42767</v>
      </c>
      <c r="AA460" s="1">
        <v>4862144</v>
      </c>
      <c r="AB460" s="1" t="s">
        <v>348</v>
      </c>
      <c r="AC460" s="5">
        <v>43272</v>
      </c>
      <c r="AF460" s="1">
        <v>10007</v>
      </c>
      <c r="AJ460" s="1">
        <v>1913</v>
      </c>
      <c r="AK460" s="1" t="s">
        <v>46</v>
      </c>
      <c r="AL460" s="1">
        <v>32</v>
      </c>
    </row>
    <row r="461" spans="1:38" x14ac:dyDescent="0.2">
      <c r="A461" s="2" t="str">
        <f>HYPERLINK("https://www.compass.com/listing/438-east-12th-street-unit-6d-manhattan-ny-10009/29361668794442593/","438 E 12th St, Unit 6D")</f>
        <v>438 E 12th St, Unit 6D</v>
      </c>
      <c r="B461" s="2" t="str">
        <f t="shared" ref="B461:B462" si="68">HYPERLINK("https://www.compass.com/building/steiner-east-village-manhattan-ny/281900317572873557/","Steiner East Village")</f>
        <v>Steiner East Village</v>
      </c>
      <c r="C461" s="1" t="s">
        <v>52</v>
      </c>
      <c r="D461" s="1" t="s">
        <v>41</v>
      </c>
      <c r="E461" s="3">
        <v>3415000</v>
      </c>
      <c r="F461" s="1">
        <v>2088.6850152905199</v>
      </c>
      <c r="G461" s="1">
        <v>6</v>
      </c>
      <c r="H461" s="1">
        <v>3</v>
      </c>
      <c r="I461" s="1">
        <v>3</v>
      </c>
      <c r="J461" s="1">
        <v>3</v>
      </c>
      <c r="K461" s="1">
        <v>3</v>
      </c>
      <c r="M461" s="4">
        <v>1635</v>
      </c>
      <c r="N461" s="1">
        <v>1719</v>
      </c>
      <c r="O461" s="1">
        <v>4049</v>
      </c>
      <c r="P461" s="1">
        <v>2330</v>
      </c>
      <c r="Q461" s="1" t="s">
        <v>42</v>
      </c>
      <c r="S461" s="1" t="s">
        <v>42</v>
      </c>
      <c r="T461" s="1" t="s">
        <v>153</v>
      </c>
      <c r="V461" s="5">
        <v>43643</v>
      </c>
      <c r="W461" s="5">
        <v>43039</v>
      </c>
      <c r="X461" s="1">
        <v>3400000</v>
      </c>
      <c r="Y461" s="1">
        <v>3400000</v>
      </c>
      <c r="Z461" s="5">
        <v>43039</v>
      </c>
      <c r="AA461" s="1">
        <v>3415000</v>
      </c>
      <c r="AB461" s="1" t="s">
        <v>361</v>
      </c>
      <c r="AC461" s="5">
        <v>43166</v>
      </c>
      <c r="AF461" s="1">
        <v>10009</v>
      </c>
      <c r="AI461" s="1" t="s">
        <v>71</v>
      </c>
      <c r="AJ461" s="1">
        <v>2017</v>
      </c>
      <c r="AK461" s="1" t="s">
        <v>49</v>
      </c>
      <c r="AL461" s="1">
        <v>82</v>
      </c>
    </row>
    <row r="462" spans="1:38" x14ac:dyDescent="0.2">
      <c r="A462" s="2" t="str">
        <f>HYPERLINK("https://www.compass.com/listing/438-east-12th-street-unit-4f-manhattan-ny-10009/29514450469915377/","438 E 12th St, Unit 4F")</f>
        <v>438 E 12th St, Unit 4F</v>
      </c>
      <c r="B462" s="2" t="str">
        <f t="shared" si="68"/>
        <v>Steiner East Village</v>
      </c>
      <c r="C462" s="1" t="s">
        <v>52</v>
      </c>
      <c r="D462" s="1" t="s">
        <v>41</v>
      </c>
      <c r="E462" s="3">
        <v>3426116</v>
      </c>
      <c r="F462" s="1">
        <v>2032.09727164887</v>
      </c>
      <c r="G462" s="1">
        <v>6</v>
      </c>
      <c r="H462" s="1">
        <v>3</v>
      </c>
      <c r="I462" s="1">
        <v>3</v>
      </c>
      <c r="J462" s="1">
        <v>2.5</v>
      </c>
      <c r="K462" s="1">
        <v>2</v>
      </c>
      <c r="L462" s="1">
        <v>1</v>
      </c>
      <c r="M462" s="4">
        <v>1686</v>
      </c>
      <c r="N462" s="1">
        <v>1762</v>
      </c>
      <c r="O462" s="1">
        <v>4150</v>
      </c>
      <c r="P462" s="1">
        <v>2388</v>
      </c>
      <c r="Q462" s="1" t="s">
        <v>42</v>
      </c>
      <c r="S462" s="1" t="s">
        <v>42</v>
      </c>
      <c r="T462" s="1" t="s">
        <v>153</v>
      </c>
      <c r="U462" s="1">
        <v>338</v>
      </c>
      <c r="V462" s="5">
        <v>43694</v>
      </c>
      <c r="W462" s="5">
        <v>43104</v>
      </c>
      <c r="X462" s="1">
        <v>3335000</v>
      </c>
      <c r="Y462" s="1">
        <v>3495000</v>
      </c>
      <c r="Z462" s="5">
        <v>43442</v>
      </c>
      <c r="AA462" s="1">
        <v>3426116</v>
      </c>
      <c r="AB462" s="1" t="s">
        <v>362</v>
      </c>
      <c r="AC462" s="5">
        <v>43526</v>
      </c>
      <c r="AF462" s="1">
        <v>10009</v>
      </c>
      <c r="AI462" s="1" t="s">
        <v>71</v>
      </c>
      <c r="AJ462" s="1">
        <v>2017</v>
      </c>
      <c r="AK462" s="1" t="s">
        <v>49</v>
      </c>
      <c r="AL462" s="1">
        <v>82</v>
      </c>
    </row>
    <row r="463" spans="1:38" x14ac:dyDescent="0.2">
      <c r="A463" s="2" t="str">
        <f>HYPERLINK("https://www.compass.com/listing/160-west-12th-street-unit-23-manhattan-ny-10011/29367247000651825/","160 W 12th St, Unit 23")</f>
        <v>160 W 12th St, Unit 23</v>
      </c>
      <c r="B463" s="2" t="str">
        <f t="shared" ref="B463:B476" si="69">HYPERLINK("https://www.compass.com/building/the-greenwich-lane-manhattan-ny/282059161326355877/","The Greenwich Lane")</f>
        <v>The Greenwich Lane</v>
      </c>
      <c r="C463" s="1" t="s">
        <v>40</v>
      </c>
      <c r="D463" s="1" t="s">
        <v>41</v>
      </c>
      <c r="E463" s="3">
        <v>3092897</v>
      </c>
      <c r="F463" s="1">
        <v>2577.4141666666601</v>
      </c>
      <c r="G463" s="1">
        <v>3</v>
      </c>
      <c r="H463" s="1">
        <v>1</v>
      </c>
      <c r="I463" s="1">
        <v>1</v>
      </c>
      <c r="J463" s="1">
        <v>1</v>
      </c>
      <c r="K463" s="1">
        <v>1</v>
      </c>
      <c r="M463" s="4">
        <v>1200</v>
      </c>
      <c r="N463" s="1">
        <v>2076</v>
      </c>
      <c r="O463" s="1">
        <v>4111</v>
      </c>
      <c r="P463" s="1">
        <v>2035</v>
      </c>
      <c r="Q463" s="1" t="s">
        <v>42</v>
      </c>
      <c r="S463" s="1" t="s">
        <v>42</v>
      </c>
      <c r="T463" s="1" t="s">
        <v>153</v>
      </c>
      <c r="U463" s="1">
        <v>10</v>
      </c>
      <c r="V463" s="5">
        <v>43631</v>
      </c>
      <c r="W463" s="5">
        <v>41861</v>
      </c>
      <c r="X463" s="1">
        <v>3030000</v>
      </c>
      <c r="Y463" s="1">
        <v>3030000</v>
      </c>
      <c r="Z463" s="5">
        <v>41871</v>
      </c>
      <c r="AA463" s="1">
        <v>3092897</v>
      </c>
      <c r="AB463" s="1" t="s">
        <v>363</v>
      </c>
      <c r="AC463" s="5">
        <v>42511</v>
      </c>
      <c r="AF463" s="1">
        <v>10011</v>
      </c>
      <c r="AI463" s="1" t="s">
        <v>364</v>
      </c>
      <c r="AJ463" s="1">
        <v>2016</v>
      </c>
      <c r="AK463" s="1" t="s">
        <v>46</v>
      </c>
      <c r="AL463" s="1">
        <v>57</v>
      </c>
    </row>
    <row r="464" spans="1:38" x14ac:dyDescent="0.2">
      <c r="A464" s="2" t="str">
        <f>HYPERLINK("https://www.compass.com/listing/160-west-12th-street-unit-26-manhattan-ny-10011/29367248225388609/","160 W 12th St, Unit 26")</f>
        <v>160 W 12th St, Unit 26</v>
      </c>
      <c r="B464" s="2" t="str">
        <f t="shared" si="69"/>
        <v>The Greenwich Lane</v>
      </c>
      <c r="C464" s="1" t="s">
        <v>40</v>
      </c>
      <c r="D464" s="1" t="s">
        <v>41</v>
      </c>
      <c r="E464" s="3">
        <v>3970954</v>
      </c>
      <c r="F464" s="1">
        <v>2483.3983739837399</v>
      </c>
      <c r="G464" s="1">
        <v>4</v>
      </c>
      <c r="H464" s="1">
        <v>2</v>
      </c>
      <c r="I464" s="1">
        <v>2</v>
      </c>
      <c r="J464" s="1">
        <v>2</v>
      </c>
      <c r="K464" s="1">
        <v>2</v>
      </c>
      <c r="M464" s="4">
        <v>1599</v>
      </c>
      <c r="N464" s="1">
        <v>2718</v>
      </c>
      <c r="O464" s="1">
        <v>5382</v>
      </c>
      <c r="P464" s="1">
        <v>2664</v>
      </c>
      <c r="Q464" s="1" t="s">
        <v>42</v>
      </c>
      <c r="S464" s="1" t="s">
        <v>42</v>
      </c>
      <c r="T464" s="1" t="s">
        <v>153</v>
      </c>
      <c r="V464" s="5">
        <v>43631</v>
      </c>
      <c r="W464" s="5">
        <v>41625</v>
      </c>
      <c r="X464" s="1">
        <v>4090000</v>
      </c>
      <c r="Y464" s="1">
        <v>4090000</v>
      </c>
      <c r="Z464" s="5">
        <v>41625</v>
      </c>
      <c r="AA464" s="1">
        <v>3970954</v>
      </c>
      <c r="AB464" s="1" t="s">
        <v>365</v>
      </c>
      <c r="AC464" s="5">
        <v>42427</v>
      </c>
      <c r="AF464" s="1">
        <v>10011</v>
      </c>
      <c r="AI464" s="1" t="s">
        <v>45</v>
      </c>
      <c r="AJ464" s="1">
        <v>2016</v>
      </c>
      <c r="AK464" s="1" t="s">
        <v>46</v>
      </c>
      <c r="AL464" s="1">
        <v>57</v>
      </c>
    </row>
    <row r="465" spans="1:38" x14ac:dyDescent="0.2">
      <c r="A465" s="2" t="str">
        <f>HYPERLINK("https://www.compass.com/listing/160-west-12th-street-unit-36-manhattan-ny-10011/29367250943339425/","160 W 12th St, Unit 36")</f>
        <v>160 W 12th St, Unit 36</v>
      </c>
      <c r="B465" s="2" t="str">
        <f t="shared" si="69"/>
        <v>The Greenwich Lane</v>
      </c>
      <c r="C465" s="1" t="s">
        <v>40</v>
      </c>
      <c r="D465" s="1" t="s">
        <v>41</v>
      </c>
      <c r="E465" s="3">
        <v>4281488</v>
      </c>
      <c r="F465" s="1">
        <v>2704.6670878079499</v>
      </c>
      <c r="G465" s="1">
        <v>4</v>
      </c>
      <c r="H465" s="1">
        <v>2</v>
      </c>
      <c r="I465" s="1">
        <v>2</v>
      </c>
      <c r="J465" s="1">
        <v>2</v>
      </c>
      <c r="K465" s="1">
        <v>2</v>
      </c>
      <c r="M465" s="4">
        <v>1583</v>
      </c>
      <c r="N465" s="1">
        <v>2710</v>
      </c>
      <c r="O465" s="1">
        <v>5366</v>
      </c>
      <c r="P465" s="1">
        <v>2656</v>
      </c>
      <c r="Q465" s="1" t="s">
        <v>42</v>
      </c>
      <c r="S465" s="1" t="s">
        <v>42</v>
      </c>
      <c r="T465" s="1" t="s">
        <v>153</v>
      </c>
      <c r="U465" s="1">
        <v>204</v>
      </c>
      <c r="V465" s="5">
        <v>43631</v>
      </c>
      <c r="W465" s="5">
        <v>41625</v>
      </c>
      <c r="X465" s="1">
        <v>4195000</v>
      </c>
      <c r="Y465" s="1">
        <v>4195000</v>
      </c>
      <c r="Z465" s="5">
        <v>41835</v>
      </c>
      <c r="AA465" s="1">
        <v>4281488</v>
      </c>
      <c r="AB465" s="1" t="s">
        <v>366</v>
      </c>
      <c r="AC465" s="5">
        <v>42437</v>
      </c>
      <c r="AF465" s="1">
        <v>10011</v>
      </c>
      <c r="AI465" s="1" t="s">
        <v>45</v>
      </c>
      <c r="AJ465" s="1">
        <v>2016</v>
      </c>
      <c r="AK465" s="1" t="s">
        <v>46</v>
      </c>
      <c r="AL465" s="1">
        <v>57</v>
      </c>
    </row>
    <row r="466" spans="1:38" x14ac:dyDescent="0.2">
      <c r="A466" s="2" t="str">
        <f>HYPERLINK("https://www.compass.com/listing/160-west-12th-street-unit-41-manhattan-ny-10011/29367252126133169/","160 W 12th St, Unit 41")</f>
        <v>160 W 12th St, Unit 41</v>
      </c>
      <c r="B466" s="2" t="str">
        <f t="shared" si="69"/>
        <v>The Greenwich Lane</v>
      </c>
      <c r="C466" s="1" t="s">
        <v>40</v>
      </c>
      <c r="D466" s="1" t="s">
        <v>41</v>
      </c>
      <c r="E466" s="3">
        <v>4159222</v>
      </c>
      <c r="F466" s="1">
        <v>2655.9527458492898</v>
      </c>
      <c r="G466" s="1">
        <v>4</v>
      </c>
      <c r="H466" s="1">
        <v>2</v>
      </c>
      <c r="I466" s="1">
        <v>2</v>
      </c>
      <c r="J466" s="1">
        <v>2</v>
      </c>
      <c r="K466" s="1">
        <v>2</v>
      </c>
      <c r="M466" s="4">
        <v>1566</v>
      </c>
      <c r="N466" s="1">
        <v>2689</v>
      </c>
      <c r="O466" s="1">
        <v>5324</v>
      </c>
      <c r="P466" s="1">
        <v>2635</v>
      </c>
      <c r="Q466" s="1" t="s">
        <v>42</v>
      </c>
      <c r="S466" s="1" t="s">
        <v>42</v>
      </c>
      <c r="T466" s="1" t="s">
        <v>153</v>
      </c>
      <c r="V466" s="5">
        <v>43631</v>
      </c>
      <c r="W466" s="5">
        <v>41625</v>
      </c>
      <c r="X466" s="1">
        <v>4275000</v>
      </c>
      <c r="Y466" s="1">
        <v>4275000</v>
      </c>
      <c r="Z466" s="5">
        <v>41625</v>
      </c>
      <c r="AA466" s="1">
        <v>4159222</v>
      </c>
      <c r="AB466" s="1" t="s">
        <v>367</v>
      </c>
      <c r="AC466" s="5">
        <v>42455</v>
      </c>
      <c r="AF466" s="1">
        <v>10011</v>
      </c>
      <c r="AI466" s="1" t="s">
        <v>243</v>
      </c>
      <c r="AJ466" s="1">
        <v>2016</v>
      </c>
      <c r="AK466" s="1" t="s">
        <v>46</v>
      </c>
      <c r="AL466" s="1">
        <v>57</v>
      </c>
    </row>
    <row r="467" spans="1:38" x14ac:dyDescent="0.2">
      <c r="A467" s="2" t="str">
        <f>HYPERLINK("https://www.compass.com/listing/160-west-12th-street-unit-56-manhattan-ny-10011/29367256144276465/","160 W 12th St, Unit 56")</f>
        <v>160 W 12th St, Unit 56</v>
      </c>
      <c r="B467" s="2" t="str">
        <f t="shared" si="69"/>
        <v>The Greenwich Lane</v>
      </c>
      <c r="C467" s="1" t="s">
        <v>40</v>
      </c>
      <c r="D467" s="1" t="s">
        <v>41</v>
      </c>
      <c r="E467" s="3">
        <v>4128849</v>
      </c>
      <c r="F467" s="1">
        <v>2603.3095838587601</v>
      </c>
      <c r="G467" s="1">
        <v>4</v>
      </c>
      <c r="H467" s="1">
        <v>2</v>
      </c>
      <c r="I467" s="1">
        <v>2</v>
      </c>
      <c r="J467" s="1">
        <v>2</v>
      </c>
      <c r="K467" s="1">
        <v>2</v>
      </c>
      <c r="M467" s="4">
        <v>1586</v>
      </c>
      <c r="N467" s="1">
        <v>2736</v>
      </c>
      <c r="O467" s="1">
        <v>5418</v>
      </c>
      <c r="P467" s="1">
        <v>2682</v>
      </c>
      <c r="Q467" s="1" t="s">
        <v>42</v>
      </c>
      <c r="S467" s="1" t="s">
        <v>42</v>
      </c>
      <c r="T467" s="1" t="s">
        <v>153</v>
      </c>
      <c r="U467" s="1">
        <v>35</v>
      </c>
      <c r="V467" s="5">
        <v>43636</v>
      </c>
      <c r="W467" s="5">
        <v>41587</v>
      </c>
      <c r="X467" s="1">
        <v>4325000</v>
      </c>
      <c r="Y467" s="1">
        <v>4325000</v>
      </c>
      <c r="Z467" s="5">
        <v>41622</v>
      </c>
      <c r="AA467" s="1">
        <v>4128849</v>
      </c>
      <c r="AB467" s="1" t="s">
        <v>368</v>
      </c>
      <c r="AC467" s="5">
        <v>42486</v>
      </c>
      <c r="AF467" s="1">
        <v>10011</v>
      </c>
      <c r="AI467" s="1" t="s">
        <v>45</v>
      </c>
      <c r="AJ467" s="1">
        <v>2016</v>
      </c>
      <c r="AK467" s="1" t="s">
        <v>46</v>
      </c>
      <c r="AL467" s="1">
        <v>57</v>
      </c>
    </row>
    <row r="468" spans="1:38" x14ac:dyDescent="0.2">
      <c r="A468" s="2" t="str">
        <f>HYPERLINK("https://www.compass.com/listing/160-west-12th-street-unit-61-manhattan-ny-10011/29513601005957201/","160 W 12th St, Unit 61")</f>
        <v>160 W 12th St, Unit 61</v>
      </c>
      <c r="B468" s="2" t="str">
        <f t="shared" si="69"/>
        <v>The Greenwich Lane</v>
      </c>
      <c r="C468" s="1" t="s">
        <v>40</v>
      </c>
      <c r="D468" s="1" t="s">
        <v>41</v>
      </c>
      <c r="E468" s="3">
        <v>4230417</v>
      </c>
      <c r="F468" s="1">
        <v>2701.4157088122602</v>
      </c>
      <c r="G468" s="1">
        <v>4.5</v>
      </c>
      <c r="H468" s="1">
        <v>2</v>
      </c>
      <c r="I468" s="1">
        <v>2</v>
      </c>
      <c r="J468" s="1">
        <v>2</v>
      </c>
      <c r="K468" s="1">
        <v>2</v>
      </c>
      <c r="M468" s="4">
        <v>1566</v>
      </c>
      <c r="N468" s="1">
        <v>2715</v>
      </c>
      <c r="O468" s="1">
        <v>5376</v>
      </c>
      <c r="P468" s="1">
        <v>2661</v>
      </c>
      <c r="Q468" s="1" t="s">
        <v>42</v>
      </c>
      <c r="S468" s="1" t="s">
        <v>42</v>
      </c>
      <c r="T468" s="1" t="s">
        <v>153</v>
      </c>
      <c r="V468" s="5">
        <v>43631</v>
      </c>
      <c r="W468" s="5">
        <v>41627</v>
      </c>
      <c r="X468" s="1">
        <v>4425000</v>
      </c>
      <c r="Y468" s="1">
        <v>4425000</v>
      </c>
      <c r="Z468" s="5">
        <v>41627</v>
      </c>
      <c r="AA468" s="1">
        <v>4230417</v>
      </c>
      <c r="AB468" s="1" t="s">
        <v>369</v>
      </c>
      <c r="AC468" s="5">
        <v>42476</v>
      </c>
      <c r="AF468" s="1">
        <v>10011</v>
      </c>
      <c r="AI468" s="1" t="s">
        <v>45</v>
      </c>
      <c r="AJ468" s="1">
        <v>2016</v>
      </c>
      <c r="AK468" s="1" t="s">
        <v>46</v>
      </c>
      <c r="AL468" s="1">
        <v>57</v>
      </c>
    </row>
    <row r="469" spans="1:38" x14ac:dyDescent="0.2">
      <c r="A469" s="2" t="str">
        <f>HYPERLINK("https://www.compass.com/listing/160-west-12th-street-unit-21-manhattan-ny-10011/4852326480039905569/","160 W 12th St, Unit 21")</f>
        <v>160 W 12th St, Unit 21</v>
      </c>
      <c r="B469" s="2" t="str">
        <f t="shared" si="69"/>
        <v>The Greenwich Lane</v>
      </c>
      <c r="C469" s="1" t="s">
        <v>40</v>
      </c>
      <c r="D469" s="1" t="s">
        <v>41</v>
      </c>
      <c r="E469" s="3">
        <v>4031844</v>
      </c>
      <c r="F469" s="1">
        <v>2574.6130268199199</v>
      </c>
      <c r="G469" s="1">
        <v>4</v>
      </c>
      <c r="H469" s="1">
        <v>2</v>
      </c>
      <c r="I469" s="1">
        <v>2</v>
      </c>
      <c r="J469" s="1">
        <v>2</v>
      </c>
      <c r="K469" s="1">
        <v>2</v>
      </c>
      <c r="M469" s="4">
        <v>1566</v>
      </c>
      <c r="N469" s="1">
        <v>2661</v>
      </c>
      <c r="O469" s="1">
        <v>5269</v>
      </c>
      <c r="P469" s="1">
        <v>2608</v>
      </c>
      <c r="Q469" s="1" t="s">
        <v>42</v>
      </c>
      <c r="S469" s="1" t="s">
        <v>42</v>
      </c>
      <c r="T469" s="1" t="s">
        <v>153</v>
      </c>
      <c r="V469" s="5">
        <v>43631</v>
      </c>
      <c r="W469" s="5">
        <v>41623</v>
      </c>
      <c r="X469" s="1">
        <v>4150000</v>
      </c>
      <c r="Y469" s="1">
        <v>4150000</v>
      </c>
      <c r="Z469" s="5">
        <v>41623</v>
      </c>
      <c r="AA469" s="1">
        <v>4031844</v>
      </c>
      <c r="AB469" s="1" t="s">
        <v>370</v>
      </c>
      <c r="AC469" s="5">
        <v>42452</v>
      </c>
      <c r="AF469" s="1">
        <v>10011</v>
      </c>
      <c r="AI469" s="1" t="s">
        <v>45</v>
      </c>
      <c r="AJ469" s="1">
        <v>2016</v>
      </c>
      <c r="AK469" s="1" t="s">
        <v>46</v>
      </c>
      <c r="AL469" s="1">
        <v>57</v>
      </c>
    </row>
    <row r="470" spans="1:38" x14ac:dyDescent="0.2">
      <c r="A470" s="2" t="str">
        <f>HYPERLINK("https://www.compass.com/listing/160-west-12th-street-unit-88-manhattan-ny-10011/655070211759833489/","160 W 12th St, Unit 88")</f>
        <v>160 W 12th St, Unit 88</v>
      </c>
      <c r="B470" s="2" t="str">
        <f t="shared" si="69"/>
        <v>The Greenwich Lane</v>
      </c>
      <c r="C470" s="1" t="s">
        <v>40</v>
      </c>
      <c r="D470" s="1" t="s">
        <v>41</v>
      </c>
      <c r="E470" s="3">
        <v>6750000</v>
      </c>
      <c r="F470" s="1">
        <v>2752.8548123980399</v>
      </c>
      <c r="G470" s="1">
        <v>6</v>
      </c>
      <c r="H470" s="1">
        <v>3</v>
      </c>
      <c r="I470" s="1">
        <v>4</v>
      </c>
      <c r="J470" s="1">
        <v>3.5</v>
      </c>
      <c r="K470" s="1">
        <v>3</v>
      </c>
      <c r="L470" s="1">
        <v>1</v>
      </c>
      <c r="M470" s="4">
        <v>2452</v>
      </c>
      <c r="N470" s="1">
        <v>4378.74</v>
      </c>
      <c r="O470" s="1">
        <v>9745.3699999999899</v>
      </c>
      <c r="P470" s="1">
        <v>5366.6666666666597</v>
      </c>
      <c r="Q470" s="1" t="s">
        <v>42</v>
      </c>
      <c r="S470" s="1" t="s">
        <v>42</v>
      </c>
      <c r="T470" s="1" t="s">
        <v>153</v>
      </c>
      <c r="U470" s="1">
        <v>84</v>
      </c>
      <c r="V470" s="5">
        <v>44287</v>
      </c>
      <c r="W470" s="5">
        <v>44155</v>
      </c>
      <c r="X470" s="1">
        <v>7495000</v>
      </c>
      <c r="Y470" s="1">
        <v>7495000</v>
      </c>
      <c r="Z470" s="5">
        <v>44240</v>
      </c>
      <c r="AA470" s="1">
        <v>6750000</v>
      </c>
      <c r="AB470" s="1" t="s">
        <v>371</v>
      </c>
      <c r="AC470" s="5">
        <v>44285</v>
      </c>
      <c r="AF470" s="1">
        <v>10011</v>
      </c>
      <c r="AI470" s="1" t="s">
        <v>45</v>
      </c>
      <c r="AJ470" s="1">
        <v>2016</v>
      </c>
      <c r="AK470" s="1" t="s">
        <v>46</v>
      </c>
      <c r="AL470" s="1">
        <v>57</v>
      </c>
    </row>
    <row r="471" spans="1:38" x14ac:dyDescent="0.2">
      <c r="A471" s="2" t="str">
        <f>HYPERLINK("https://www.compass.com/listing/160-west-12th-street-unit-78-manhattan-ny-10011/394013534628328753/","160 W 12th St, Unit 78")</f>
        <v>160 W 12th St, Unit 78</v>
      </c>
      <c r="B471" s="2" t="str">
        <f t="shared" si="69"/>
        <v>The Greenwich Lane</v>
      </c>
      <c r="C471" s="1" t="s">
        <v>40</v>
      </c>
      <c r="D471" s="1" t="s">
        <v>41</v>
      </c>
      <c r="E471" s="3">
        <v>7295000</v>
      </c>
      <c r="F471" s="1">
        <v>2979.9836601307102</v>
      </c>
      <c r="G471" s="1">
        <v>6</v>
      </c>
      <c r="H471" s="1">
        <v>3</v>
      </c>
      <c r="I471" s="1">
        <v>4</v>
      </c>
      <c r="J471" s="1">
        <v>3.5</v>
      </c>
      <c r="K471" s="1">
        <v>3</v>
      </c>
      <c r="L471" s="1">
        <v>1</v>
      </c>
      <c r="M471" s="4">
        <v>2448</v>
      </c>
      <c r="N471" s="1">
        <v>4265.17</v>
      </c>
      <c r="O471" s="1">
        <v>9629.17</v>
      </c>
      <c r="P471" s="1">
        <v>5364</v>
      </c>
      <c r="Q471" s="1" t="s">
        <v>42</v>
      </c>
      <c r="S471" s="1" t="s">
        <v>42</v>
      </c>
      <c r="T471" s="1" t="s">
        <v>153</v>
      </c>
      <c r="U471" s="1">
        <v>14</v>
      </c>
      <c r="V471" s="5">
        <v>43956</v>
      </c>
      <c r="W471" s="5">
        <v>43795</v>
      </c>
      <c r="X471" s="1">
        <v>7295000</v>
      </c>
      <c r="Y471" s="1">
        <v>7295000</v>
      </c>
      <c r="Z471" s="5">
        <v>43809</v>
      </c>
      <c r="AA471" s="1">
        <v>7295000</v>
      </c>
      <c r="AB471" s="1" t="s">
        <v>372</v>
      </c>
      <c r="AC471" s="5">
        <v>43839</v>
      </c>
      <c r="AF471" s="1">
        <v>10011</v>
      </c>
      <c r="AI471" s="1" t="s">
        <v>45</v>
      </c>
      <c r="AJ471" s="1">
        <v>2016</v>
      </c>
      <c r="AK471" s="1" t="s">
        <v>46</v>
      </c>
      <c r="AL471" s="1">
        <v>57</v>
      </c>
    </row>
    <row r="472" spans="1:38" x14ac:dyDescent="0.2">
      <c r="A472" s="2" t="str">
        <f>HYPERLINK("https://www.compass.com/listing/160-west-12th-street-unit-51-manhattan-ny-10011/29367254290352305/","160 W 12th St, Unit 51")</f>
        <v>160 W 12th St, Unit 51</v>
      </c>
      <c r="B472" s="2" t="str">
        <f t="shared" si="69"/>
        <v>The Greenwich Lane</v>
      </c>
      <c r="C472" s="1" t="s">
        <v>40</v>
      </c>
      <c r="D472" s="1" t="s">
        <v>41</v>
      </c>
      <c r="E472" s="3">
        <v>4413833</v>
      </c>
      <c r="F472" s="1">
        <v>2820.3405750798702</v>
      </c>
      <c r="G472" s="1">
        <v>4</v>
      </c>
      <c r="H472" s="1">
        <v>2</v>
      </c>
      <c r="I472" s="1">
        <v>2</v>
      </c>
      <c r="J472" s="1">
        <v>2</v>
      </c>
      <c r="K472" s="1">
        <v>2</v>
      </c>
      <c r="M472" s="4">
        <v>1565</v>
      </c>
      <c r="N472" s="1">
        <v>2702</v>
      </c>
      <c r="O472" s="1">
        <v>5350</v>
      </c>
      <c r="P472" s="1">
        <v>2648</v>
      </c>
      <c r="Q472" s="1" t="s">
        <v>42</v>
      </c>
      <c r="S472" s="1" t="s">
        <v>42</v>
      </c>
      <c r="T472" s="1" t="s">
        <v>153</v>
      </c>
      <c r="U472" s="1">
        <v>288</v>
      </c>
      <c r="V472" s="5">
        <v>43631</v>
      </c>
      <c r="W472" s="5">
        <v>41757</v>
      </c>
      <c r="X472" s="1">
        <v>4325000</v>
      </c>
      <c r="Y472" s="1">
        <v>4325000</v>
      </c>
      <c r="Z472" s="5">
        <v>42045</v>
      </c>
      <c r="AA472" s="1">
        <v>4413833</v>
      </c>
      <c r="AB472" s="1" t="s">
        <v>373</v>
      </c>
      <c r="AC472" s="5">
        <v>42460</v>
      </c>
      <c r="AF472" s="1">
        <v>10011</v>
      </c>
      <c r="AI472" s="1" t="s">
        <v>45</v>
      </c>
      <c r="AJ472" s="1">
        <v>2016</v>
      </c>
      <c r="AK472" s="1" t="s">
        <v>46</v>
      </c>
      <c r="AL472" s="1">
        <v>57</v>
      </c>
    </row>
    <row r="473" spans="1:38" x14ac:dyDescent="0.2">
      <c r="A473" s="2" t="str">
        <f>HYPERLINK("https://www.compass.com/listing/160-west-12th-street-unit-66-manhattan-ny-10011/4852326320564081889/","160 W 12th St, Unit 66")</f>
        <v>160 W 12th St, Unit 66</v>
      </c>
      <c r="B473" s="2" t="str">
        <f t="shared" si="69"/>
        <v>The Greenwich Lane</v>
      </c>
      <c r="C473" s="1" t="s">
        <v>40</v>
      </c>
      <c r="D473" s="1" t="s">
        <v>41</v>
      </c>
      <c r="E473" s="3">
        <v>4531106</v>
      </c>
      <c r="F473" s="1">
        <v>2862.3537586860298</v>
      </c>
      <c r="G473" s="1">
        <v>4</v>
      </c>
      <c r="H473" s="1">
        <v>2</v>
      </c>
      <c r="I473" s="1">
        <v>2</v>
      </c>
      <c r="J473" s="1">
        <v>2</v>
      </c>
      <c r="K473" s="1">
        <v>2</v>
      </c>
      <c r="M473" s="4">
        <v>1583</v>
      </c>
      <c r="N473" s="1">
        <v>2750</v>
      </c>
      <c r="O473" s="1">
        <v>5445</v>
      </c>
      <c r="P473" s="1">
        <v>2695</v>
      </c>
      <c r="Q473" s="1" t="s">
        <v>42</v>
      </c>
      <c r="S473" s="1" t="s">
        <v>42</v>
      </c>
      <c r="T473" s="1" t="s">
        <v>153</v>
      </c>
      <c r="U473" s="1">
        <v>183</v>
      </c>
      <c r="V473" s="5">
        <v>43631</v>
      </c>
      <c r="W473" s="5">
        <v>41831</v>
      </c>
      <c r="X473" s="1">
        <v>4440000</v>
      </c>
      <c r="Y473" s="1">
        <v>4440000</v>
      </c>
      <c r="Z473" s="5">
        <v>42014</v>
      </c>
      <c r="AA473" s="1">
        <v>4531106</v>
      </c>
      <c r="AB473" s="1" t="s">
        <v>374</v>
      </c>
      <c r="AC473" s="5">
        <v>42465</v>
      </c>
      <c r="AF473" s="1">
        <v>10011</v>
      </c>
      <c r="AI473" s="1" t="s">
        <v>45</v>
      </c>
      <c r="AJ473" s="1">
        <v>2016</v>
      </c>
      <c r="AK473" s="1" t="s">
        <v>46</v>
      </c>
      <c r="AL473" s="1">
        <v>57</v>
      </c>
    </row>
    <row r="474" spans="1:38" x14ac:dyDescent="0.2">
      <c r="A474" s="2" t="str">
        <f>HYPERLINK("https://www.compass.com/listing/160-west-12th-street-unit-47-manhattan-ny-10011/4852326482271275761/","160 W 12th St, Unit 47")</f>
        <v>160 W 12th St, Unit 47</v>
      </c>
      <c r="B474" s="2" t="str">
        <f t="shared" si="69"/>
        <v>The Greenwich Lane</v>
      </c>
      <c r="C474" s="1" t="s">
        <v>40</v>
      </c>
      <c r="D474" s="1" t="s">
        <v>41</v>
      </c>
      <c r="E474" s="3">
        <v>4470914</v>
      </c>
      <c r="F474" s="1">
        <v>2562.1283667621701</v>
      </c>
      <c r="G474" s="1">
        <v>4.5</v>
      </c>
      <c r="H474" s="1">
        <v>2</v>
      </c>
      <c r="I474" s="1">
        <v>2</v>
      </c>
      <c r="J474" s="1">
        <v>2</v>
      </c>
      <c r="K474" s="1">
        <v>2</v>
      </c>
      <c r="M474" s="4">
        <v>1745</v>
      </c>
      <c r="N474" s="1">
        <v>2996</v>
      </c>
      <c r="O474" s="1">
        <v>5932</v>
      </c>
      <c r="P474" s="1">
        <v>2936</v>
      </c>
      <c r="Q474" s="1" t="s">
        <v>42</v>
      </c>
      <c r="S474" s="1" t="s">
        <v>42</v>
      </c>
      <c r="T474" s="1" t="s">
        <v>153</v>
      </c>
      <c r="U474" s="1">
        <v>69</v>
      </c>
      <c r="V474" s="5">
        <v>43642</v>
      </c>
      <c r="W474" s="5">
        <v>42119</v>
      </c>
      <c r="X474" s="1">
        <v>4380000</v>
      </c>
      <c r="Y474" s="1">
        <v>4380000</v>
      </c>
      <c r="Z474" s="5">
        <v>42188</v>
      </c>
      <c r="AA474" s="1">
        <v>4470914</v>
      </c>
      <c r="AB474" s="1" t="s">
        <v>375</v>
      </c>
      <c r="AC474" s="5">
        <v>42461</v>
      </c>
      <c r="AF474" s="1">
        <v>10011</v>
      </c>
      <c r="AI474" s="1" t="s">
        <v>45</v>
      </c>
      <c r="AJ474" s="1">
        <v>2016</v>
      </c>
      <c r="AK474" s="1" t="s">
        <v>46</v>
      </c>
      <c r="AL474" s="1">
        <v>57</v>
      </c>
    </row>
    <row r="475" spans="1:38" x14ac:dyDescent="0.2">
      <c r="A475" s="2" t="str">
        <f>HYPERLINK("https://www.compass.com/listing/160-west-12th-street-unit-96-manhattan-ny-10011/29367265388522705/","160 W 12th St, Unit 96")</f>
        <v>160 W 12th St, Unit 96</v>
      </c>
      <c r="B475" s="2" t="str">
        <f t="shared" si="69"/>
        <v>The Greenwich Lane</v>
      </c>
      <c r="C475" s="1" t="s">
        <v>40</v>
      </c>
      <c r="D475" s="1" t="s">
        <v>41</v>
      </c>
      <c r="E475" s="3">
        <v>8758750</v>
      </c>
      <c r="F475" s="1">
        <v>3076.48401826484</v>
      </c>
      <c r="G475" s="1">
        <v>5</v>
      </c>
      <c r="H475" s="1">
        <v>3</v>
      </c>
      <c r="I475" s="1">
        <v>4</v>
      </c>
      <c r="J475" s="1">
        <v>0.5</v>
      </c>
      <c r="L475" s="1">
        <v>1</v>
      </c>
      <c r="M475" s="4">
        <v>2847</v>
      </c>
      <c r="N475" s="1">
        <v>5177</v>
      </c>
      <c r="O475" s="1">
        <v>11086</v>
      </c>
      <c r="P475" s="1">
        <v>5909</v>
      </c>
      <c r="Q475" s="1" t="s">
        <v>42</v>
      </c>
      <c r="S475" s="1" t="s">
        <v>42</v>
      </c>
      <c r="T475" s="1" t="s">
        <v>153</v>
      </c>
      <c r="U475" s="1">
        <v>277</v>
      </c>
      <c r="V475" s="5">
        <v>43189</v>
      </c>
      <c r="W475" s="5">
        <v>42565</v>
      </c>
      <c r="X475" s="1">
        <v>9995000</v>
      </c>
      <c r="Y475" s="1">
        <v>9995000</v>
      </c>
      <c r="AA475" s="1">
        <v>8758750</v>
      </c>
      <c r="AB475" s="1" t="s">
        <v>356</v>
      </c>
      <c r="AC475" s="5">
        <v>42842</v>
      </c>
      <c r="AF475" s="1">
        <v>10011</v>
      </c>
      <c r="AI475" s="1" t="s">
        <v>233</v>
      </c>
      <c r="AJ475" s="1">
        <v>2016</v>
      </c>
      <c r="AK475" s="1" t="s">
        <v>46</v>
      </c>
      <c r="AL475" s="1">
        <v>57</v>
      </c>
    </row>
    <row r="476" spans="1:38" x14ac:dyDescent="0.2">
      <c r="A476" s="2" t="str">
        <f>HYPERLINK("https://www.compass.com/listing/160-west-12th-street-unit-57-manhattan-ny-10011/29367256538544177/","160 W 12th St, Unit 57")</f>
        <v>160 W 12th St, Unit 57</v>
      </c>
      <c r="B476" s="2" t="str">
        <f t="shared" si="69"/>
        <v>The Greenwich Lane</v>
      </c>
      <c r="C476" s="1" t="s">
        <v>40</v>
      </c>
      <c r="D476" s="1" t="s">
        <v>41</v>
      </c>
      <c r="E476" s="3">
        <v>4537154</v>
      </c>
      <c r="F476" s="1">
        <v>2600.0882521489898</v>
      </c>
      <c r="G476" s="1">
        <v>4</v>
      </c>
      <c r="H476" s="1">
        <v>2</v>
      </c>
      <c r="I476" s="1">
        <v>3</v>
      </c>
      <c r="J476" s="1">
        <v>2.5</v>
      </c>
      <c r="M476" s="4">
        <v>1745</v>
      </c>
      <c r="N476" s="1">
        <v>3011</v>
      </c>
      <c r="O476" s="1">
        <v>5962</v>
      </c>
      <c r="P476" s="1">
        <v>2951</v>
      </c>
      <c r="Q476" s="1" t="s">
        <v>42</v>
      </c>
      <c r="S476" s="1" t="s">
        <v>42</v>
      </c>
      <c r="T476" s="1" t="s">
        <v>153</v>
      </c>
      <c r="U476" s="1">
        <v>1</v>
      </c>
      <c r="V476" s="5">
        <v>43670</v>
      </c>
      <c r="W476" s="5">
        <v>41719</v>
      </c>
      <c r="X476" s="1">
        <v>4445000</v>
      </c>
      <c r="Y476" s="1">
        <v>4445000</v>
      </c>
      <c r="Z476" s="5">
        <v>41720</v>
      </c>
      <c r="AA476" s="1">
        <v>4537154</v>
      </c>
      <c r="AB476" s="1" t="s">
        <v>376</v>
      </c>
      <c r="AC476" s="5">
        <v>42462</v>
      </c>
      <c r="AF476" s="1">
        <v>10011</v>
      </c>
      <c r="AI476" s="1" t="s">
        <v>45</v>
      </c>
      <c r="AJ476" s="1">
        <v>2016</v>
      </c>
      <c r="AK476" s="1" t="s">
        <v>46</v>
      </c>
      <c r="AL476" s="1">
        <v>57</v>
      </c>
    </row>
    <row r="477" spans="1:38" x14ac:dyDescent="0.2">
      <c r="A477" s="2" t="str">
        <f>HYPERLINK("https://www.compass.com/listing/438-east-12th-street-unit-5m-manhattan-ny-10009/29361665690696065/","438 E 12th St, Unit 5M")</f>
        <v>438 E 12th St, Unit 5M</v>
      </c>
      <c r="B477" s="2" t="str">
        <f t="shared" ref="B477:B479" si="70">HYPERLINK("https://www.compass.com/building/steiner-east-village-manhattan-ny/281900317572873557/","Steiner East Village")</f>
        <v>Steiner East Village</v>
      </c>
      <c r="C477" s="1" t="s">
        <v>52</v>
      </c>
      <c r="D477" s="1" t="s">
        <v>41</v>
      </c>
      <c r="E477" s="3">
        <v>3859168</v>
      </c>
      <c r="F477" s="1">
        <v>2370.4963144963099</v>
      </c>
      <c r="G477" s="1">
        <v>6</v>
      </c>
      <c r="H477" s="1">
        <v>3</v>
      </c>
      <c r="I477" s="1">
        <v>3</v>
      </c>
      <c r="J477" s="1">
        <v>2.5</v>
      </c>
      <c r="K477" s="1">
        <v>2</v>
      </c>
      <c r="L477" s="1">
        <v>1</v>
      </c>
      <c r="M477" s="4">
        <v>1628</v>
      </c>
      <c r="N477" s="1">
        <v>1701</v>
      </c>
      <c r="O477" s="1">
        <v>4007</v>
      </c>
      <c r="P477" s="1">
        <v>2306</v>
      </c>
      <c r="Q477" s="1" t="s">
        <v>42</v>
      </c>
      <c r="S477" s="1" t="s">
        <v>42</v>
      </c>
      <c r="T477" s="1" t="s">
        <v>153</v>
      </c>
      <c r="V477" s="5">
        <v>44338</v>
      </c>
      <c r="W477" s="5">
        <v>42888</v>
      </c>
      <c r="X477" s="1">
        <v>3775000</v>
      </c>
      <c r="Y477" s="1">
        <v>3775000</v>
      </c>
      <c r="Z477" s="5">
        <v>42888</v>
      </c>
      <c r="AA477" s="1">
        <v>3859168</v>
      </c>
      <c r="AB477" s="1" t="s">
        <v>377</v>
      </c>
      <c r="AC477" s="5">
        <v>43146</v>
      </c>
      <c r="AF477" s="1">
        <v>10009</v>
      </c>
      <c r="AI477" s="1" t="s">
        <v>71</v>
      </c>
      <c r="AJ477" s="1">
        <v>2017</v>
      </c>
      <c r="AK477" s="1" t="s">
        <v>49</v>
      </c>
      <c r="AL477" s="1">
        <v>82</v>
      </c>
    </row>
    <row r="478" spans="1:38" x14ac:dyDescent="0.2">
      <c r="A478" s="2" t="str">
        <f>HYPERLINK("https://www.compass.com/listing/438-east-12th-street-unit-6m-manhattan-ny-10009/29361671185234401/","438 E 12th St, Unit 6M")</f>
        <v>438 E 12th St, Unit 6M</v>
      </c>
      <c r="B478" s="2" t="str">
        <f t="shared" si="70"/>
        <v>Steiner East Village</v>
      </c>
      <c r="C478" s="1" t="s">
        <v>52</v>
      </c>
      <c r="D478" s="1" t="s">
        <v>41</v>
      </c>
      <c r="E478" s="3">
        <v>3809447</v>
      </c>
      <c r="F478" s="1">
        <v>2339.95515970515</v>
      </c>
      <c r="G478" s="1">
        <v>6</v>
      </c>
      <c r="H478" s="1">
        <v>3</v>
      </c>
      <c r="I478" s="1">
        <v>4</v>
      </c>
      <c r="J478" s="1">
        <v>3.5</v>
      </c>
      <c r="K478" s="1">
        <v>3</v>
      </c>
      <c r="L478" s="1">
        <v>1</v>
      </c>
      <c r="M478" s="4">
        <v>1628</v>
      </c>
      <c r="N478" s="1">
        <v>1702</v>
      </c>
      <c r="O478" s="1">
        <v>4008</v>
      </c>
      <c r="P478" s="1">
        <v>2306</v>
      </c>
      <c r="Q478" s="1" t="s">
        <v>42</v>
      </c>
      <c r="S478" s="1" t="s">
        <v>42</v>
      </c>
      <c r="T478" s="1" t="s">
        <v>153</v>
      </c>
      <c r="V478" s="5">
        <v>43641</v>
      </c>
      <c r="W478" s="5">
        <v>42661</v>
      </c>
      <c r="X478" s="1">
        <v>3775000</v>
      </c>
      <c r="Y478" s="1">
        <v>3775000</v>
      </c>
      <c r="Z478" s="5">
        <v>42661</v>
      </c>
      <c r="AA478" s="1">
        <v>3809447</v>
      </c>
      <c r="AB478" s="1" t="s">
        <v>378</v>
      </c>
      <c r="AC478" s="5">
        <v>43183</v>
      </c>
      <c r="AF478" s="1">
        <v>10009</v>
      </c>
      <c r="AI478" s="1" t="s">
        <v>71</v>
      </c>
      <c r="AJ478" s="1">
        <v>2017</v>
      </c>
      <c r="AK478" s="1" t="s">
        <v>49</v>
      </c>
      <c r="AL478" s="1">
        <v>82</v>
      </c>
    </row>
    <row r="479" spans="1:38" x14ac:dyDescent="0.2">
      <c r="A479" s="2" t="str">
        <f>HYPERLINK("https://www.compass.com/listing/438-east-12th-street-unit-6r-manhattan-ny-10009/29361672275753457/","438 E 12th St, Unit 6R")</f>
        <v>438 E 12th St, Unit 6R</v>
      </c>
      <c r="B479" s="2" t="str">
        <f t="shared" si="70"/>
        <v>Steiner East Village</v>
      </c>
      <c r="C479" s="1" t="s">
        <v>52</v>
      </c>
      <c r="D479" s="1" t="s">
        <v>41</v>
      </c>
      <c r="E479" s="3">
        <v>3515000</v>
      </c>
      <c r="F479" s="1">
        <v>2191.3965087281699</v>
      </c>
      <c r="G479" s="1">
        <v>6</v>
      </c>
      <c r="H479" s="1">
        <v>3</v>
      </c>
      <c r="I479" s="1">
        <v>3</v>
      </c>
      <c r="J479" s="1">
        <v>3</v>
      </c>
      <c r="K479" s="1">
        <v>3</v>
      </c>
      <c r="M479" s="4">
        <v>1604</v>
      </c>
      <c r="N479" s="1">
        <v>1676</v>
      </c>
      <c r="O479" s="1">
        <v>3948</v>
      </c>
      <c r="P479" s="1">
        <v>2272</v>
      </c>
      <c r="Q479" s="1" t="s">
        <v>42</v>
      </c>
      <c r="S479" s="1" t="s">
        <v>42</v>
      </c>
      <c r="T479" s="1" t="s">
        <v>153</v>
      </c>
      <c r="V479" s="5">
        <v>44387</v>
      </c>
      <c r="W479" s="5">
        <v>43053</v>
      </c>
      <c r="X479" s="1">
        <v>3600000</v>
      </c>
      <c r="Y479" s="1">
        <v>3600000</v>
      </c>
      <c r="Z479" s="5">
        <v>43053</v>
      </c>
      <c r="AA479" s="1">
        <v>3515000</v>
      </c>
      <c r="AB479" s="1" t="s">
        <v>379</v>
      </c>
      <c r="AC479" s="5">
        <v>43185</v>
      </c>
      <c r="AF479" s="1">
        <v>10009</v>
      </c>
      <c r="AI479" s="1" t="s">
        <v>71</v>
      </c>
      <c r="AJ479" s="1">
        <v>2017</v>
      </c>
      <c r="AK479" s="1" t="s">
        <v>49</v>
      </c>
      <c r="AL479" s="1">
        <v>82</v>
      </c>
    </row>
    <row r="480" spans="1:38" x14ac:dyDescent="0.2">
      <c r="A480" s="2" t="str">
        <f>HYPERLINK("https://www.compass.com/listing/160-west-12th-street-unit-74-manhattan-ny-10011/617447868537829601/","160 W 12th St, Unit 74")</f>
        <v>160 W 12th St, Unit 74</v>
      </c>
      <c r="B480" s="2" t="str">
        <f>HYPERLINK("https://www.compass.com/building/the-greenwich-lane-manhattan-ny/282059161326355877/","The Greenwich Lane")</f>
        <v>The Greenwich Lane</v>
      </c>
      <c r="C480" s="1" t="s">
        <v>40</v>
      </c>
      <c r="D480" s="1" t="s">
        <v>41</v>
      </c>
      <c r="E480" s="3">
        <v>10300000</v>
      </c>
      <c r="F480" s="1">
        <v>3498.6413043478201</v>
      </c>
      <c r="G480" s="1">
        <v>6</v>
      </c>
      <c r="H480" s="1">
        <v>3</v>
      </c>
      <c r="I480" s="1">
        <v>4</v>
      </c>
      <c r="J480" s="1">
        <v>3.5</v>
      </c>
      <c r="K480" s="1">
        <v>3</v>
      </c>
      <c r="L480" s="1">
        <v>1</v>
      </c>
      <c r="M480" s="4">
        <v>2944</v>
      </c>
      <c r="N480" s="1">
        <v>5384</v>
      </c>
      <c r="O480" s="1">
        <v>12134</v>
      </c>
      <c r="P480" s="1">
        <v>6750</v>
      </c>
      <c r="Q480" s="1" t="s">
        <v>42</v>
      </c>
      <c r="S480" s="1" t="s">
        <v>42</v>
      </c>
      <c r="T480" s="1" t="s">
        <v>153</v>
      </c>
      <c r="U480" s="1">
        <v>101</v>
      </c>
      <c r="V480" s="5">
        <v>44264</v>
      </c>
      <c r="W480" s="5">
        <v>44103</v>
      </c>
      <c r="X480" s="1">
        <v>10759000</v>
      </c>
      <c r="Y480" s="1">
        <v>10995000</v>
      </c>
      <c r="Z480" s="5">
        <v>44205</v>
      </c>
      <c r="AA480" s="1">
        <v>10300000</v>
      </c>
      <c r="AB480" s="1" t="s">
        <v>380</v>
      </c>
      <c r="AC480" s="5">
        <v>44259</v>
      </c>
      <c r="AF480" s="1">
        <v>10011</v>
      </c>
      <c r="AI480" s="1" t="s">
        <v>381</v>
      </c>
      <c r="AJ480" s="1">
        <v>2016</v>
      </c>
      <c r="AK480" s="1" t="s">
        <v>46</v>
      </c>
      <c r="AL480" s="1">
        <v>57</v>
      </c>
    </row>
    <row r="481" spans="1:38" x14ac:dyDescent="0.2">
      <c r="A481" s="2" t="str">
        <f>HYPERLINK("https://www.compass.com/listing/438-east-12th-street-unit-pha-manhattan-ny-10009/24965243499275281/","438 E 12th St, Unit PHA")</f>
        <v>438 E 12th St, Unit PHA</v>
      </c>
      <c r="B481" s="2" t="str">
        <f t="shared" ref="B481:B487" si="71">HYPERLINK("https://www.compass.com/building/steiner-east-village-manhattan-ny/281900317572873557/","Steiner East Village")</f>
        <v>Steiner East Village</v>
      </c>
      <c r="C481" s="1" t="s">
        <v>52</v>
      </c>
      <c r="D481" s="1" t="s">
        <v>41</v>
      </c>
      <c r="E481" s="3">
        <v>4727500</v>
      </c>
      <c r="F481" s="1">
        <v>2916.40962368908</v>
      </c>
      <c r="G481" s="1">
        <v>4</v>
      </c>
      <c r="H481" s="1">
        <v>2</v>
      </c>
      <c r="I481" s="1">
        <v>3</v>
      </c>
      <c r="J481" s="1">
        <v>2.5</v>
      </c>
      <c r="K481" s="1">
        <v>2</v>
      </c>
      <c r="L481" s="1">
        <v>1</v>
      </c>
      <c r="M481" s="4">
        <v>1621</v>
      </c>
      <c r="N481" s="1">
        <v>1757</v>
      </c>
      <c r="O481" s="1">
        <v>4138</v>
      </c>
      <c r="P481" s="1">
        <v>2381</v>
      </c>
      <c r="Q481" s="1" t="s">
        <v>42</v>
      </c>
      <c r="S481" s="1" t="s">
        <v>42</v>
      </c>
      <c r="T481" s="1" t="s">
        <v>153</v>
      </c>
      <c r="U481" s="1">
        <v>7</v>
      </c>
      <c r="V481" s="5">
        <v>43641</v>
      </c>
      <c r="W481" s="5">
        <v>42616</v>
      </c>
      <c r="X481" s="1">
        <v>4475000</v>
      </c>
      <c r="Y481" s="1">
        <v>4475000</v>
      </c>
      <c r="Z481" s="5">
        <v>42623</v>
      </c>
      <c r="AA481" s="1">
        <v>4727500</v>
      </c>
      <c r="AB481" s="1" t="s">
        <v>382</v>
      </c>
      <c r="AC481" s="5">
        <v>43263</v>
      </c>
      <c r="AF481" s="1">
        <v>10009</v>
      </c>
      <c r="AI481" s="1" t="s">
        <v>383</v>
      </c>
      <c r="AJ481" s="1">
        <v>2017</v>
      </c>
      <c r="AK481" s="1" t="s">
        <v>49</v>
      </c>
      <c r="AL481" s="1">
        <v>82</v>
      </c>
    </row>
    <row r="482" spans="1:38" x14ac:dyDescent="0.2">
      <c r="A482" s="2" t="str">
        <f>HYPERLINK("https://www.compass.com/listing/438-east-12th-street-unit-phf-manhattan-ny-10009/29361673047376385/","438 E 12th St, Unit PHF")</f>
        <v>438 E 12th St, Unit PHF</v>
      </c>
      <c r="B482" s="2" t="str">
        <f t="shared" si="71"/>
        <v>Steiner East Village</v>
      </c>
      <c r="C482" s="1" t="s">
        <v>52</v>
      </c>
      <c r="D482" s="1" t="s">
        <v>41</v>
      </c>
      <c r="E482" s="3">
        <v>5170000</v>
      </c>
      <c r="F482" s="1">
        <v>2901.2345679012301</v>
      </c>
      <c r="G482" s="1">
        <v>6</v>
      </c>
      <c r="H482" s="1">
        <v>3</v>
      </c>
      <c r="I482" s="1">
        <v>3</v>
      </c>
      <c r="J482" s="1">
        <v>2.5</v>
      </c>
      <c r="K482" s="1">
        <v>2</v>
      </c>
      <c r="L482" s="1">
        <v>1</v>
      </c>
      <c r="M482" s="4">
        <v>1782</v>
      </c>
      <c r="N482" s="1">
        <v>2106</v>
      </c>
      <c r="O482" s="1">
        <v>4960</v>
      </c>
      <c r="P482" s="1">
        <v>2854</v>
      </c>
      <c r="Q482" s="1" t="s">
        <v>42</v>
      </c>
      <c r="S482" s="1" t="s">
        <v>42</v>
      </c>
      <c r="T482" s="1" t="s">
        <v>153</v>
      </c>
      <c r="U482" s="1">
        <v>218</v>
      </c>
      <c r="V482" s="5">
        <v>43643</v>
      </c>
      <c r="W482" s="5">
        <v>42754</v>
      </c>
      <c r="X482" s="1">
        <v>5395000</v>
      </c>
      <c r="Y482" s="1">
        <v>5395000</v>
      </c>
      <c r="Z482" s="5">
        <v>42972</v>
      </c>
      <c r="AA482" s="1">
        <v>5170000</v>
      </c>
      <c r="AB482" s="1" t="s">
        <v>384</v>
      </c>
      <c r="AC482" s="5">
        <v>43250</v>
      </c>
      <c r="AF482" s="1">
        <v>10009</v>
      </c>
      <c r="AI482" s="1" t="s">
        <v>385</v>
      </c>
      <c r="AJ482" s="1">
        <v>2017</v>
      </c>
      <c r="AK482" s="1" t="s">
        <v>49</v>
      </c>
      <c r="AL482" s="1">
        <v>82</v>
      </c>
    </row>
    <row r="483" spans="1:38" x14ac:dyDescent="0.2">
      <c r="A483" s="2" t="str">
        <f>HYPERLINK("https://www.compass.com/listing/438-east-12th-street-unit-phh-manhattan-ny-10009/29514446745449761/","438 E 12th St, Unit PHH")</f>
        <v>438 E 12th St, Unit PHH</v>
      </c>
      <c r="B483" s="2" t="str">
        <f t="shared" si="71"/>
        <v>Steiner East Village</v>
      </c>
      <c r="C483" s="1" t="s">
        <v>52</v>
      </c>
      <c r="D483" s="1" t="s">
        <v>41</v>
      </c>
      <c r="E483" s="3">
        <v>5345813</v>
      </c>
      <c r="F483" s="1">
        <v>2690.3940613990899</v>
      </c>
      <c r="G483" s="1">
        <v>6</v>
      </c>
      <c r="H483" s="1">
        <v>3</v>
      </c>
      <c r="I483" s="1">
        <v>3</v>
      </c>
      <c r="J483" s="1">
        <v>3</v>
      </c>
      <c r="K483" s="1">
        <v>3</v>
      </c>
      <c r="M483" s="4">
        <v>1987</v>
      </c>
      <c r="N483" s="1">
        <v>2327</v>
      </c>
      <c r="O483" s="1">
        <v>5481</v>
      </c>
      <c r="P483" s="1">
        <v>3154</v>
      </c>
      <c r="Q483" s="1" t="s">
        <v>42</v>
      </c>
      <c r="S483" s="1" t="s">
        <v>42</v>
      </c>
      <c r="T483" s="1" t="s">
        <v>153</v>
      </c>
      <c r="V483" s="5">
        <v>43745</v>
      </c>
      <c r="W483" s="5">
        <v>43259</v>
      </c>
      <c r="X483" s="1">
        <v>5250000</v>
      </c>
      <c r="Y483" s="1">
        <v>5250000</v>
      </c>
      <c r="Z483" s="5">
        <v>43259</v>
      </c>
      <c r="AA483" s="1">
        <v>5345813</v>
      </c>
      <c r="AB483" s="1" t="s">
        <v>386</v>
      </c>
      <c r="AC483" s="5">
        <v>43314</v>
      </c>
      <c r="AF483" s="1">
        <v>10009</v>
      </c>
      <c r="AI483" s="1" t="s">
        <v>385</v>
      </c>
      <c r="AJ483" s="1">
        <v>2017</v>
      </c>
      <c r="AK483" s="1" t="s">
        <v>49</v>
      </c>
      <c r="AL483" s="1">
        <v>82</v>
      </c>
    </row>
    <row r="484" spans="1:38" x14ac:dyDescent="0.2">
      <c r="A484" s="2" t="str">
        <f>HYPERLINK("https://www.compass.com/listing/438-east-12th-street-unit-2d-manhattan-ny-10009/29514447735305537/","438 E 12th St, Unit 2D")</f>
        <v>438 E 12th St, Unit 2D</v>
      </c>
      <c r="B484" s="2" t="str">
        <f t="shared" si="71"/>
        <v>Steiner East Village</v>
      </c>
      <c r="C484" s="1" t="s">
        <v>52</v>
      </c>
      <c r="D484" s="1" t="s">
        <v>41</v>
      </c>
      <c r="E484" s="3">
        <v>3818438</v>
      </c>
      <c r="F484" s="1">
        <v>1932.40789473684</v>
      </c>
      <c r="G484" s="1">
        <v>6</v>
      </c>
      <c r="H484" s="1">
        <v>3</v>
      </c>
      <c r="I484" s="1">
        <v>3</v>
      </c>
      <c r="J484" s="1">
        <v>2.5</v>
      </c>
      <c r="K484" s="1">
        <v>2</v>
      </c>
      <c r="L484" s="1">
        <v>1</v>
      </c>
      <c r="M484" s="4">
        <v>1976</v>
      </c>
      <c r="N484" s="1">
        <v>2158</v>
      </c>
      <c r="O484" s="1">
        <v>5082</v>
      </c>
      <c r="P484" s="1">
        <v>2924</v>
      </c>
      <c r="Q484" s="1" t="s">
        <v>42</v>
      </c>
      <c r="S484" s="1" t="s">
        <v>42</v>
      </c>
      <c r="T484" s="1" t="s">
        <v>153</v>
      </c>
      <c r="U484" s="1">
        <v>40</v>
      </c>
      <c r="V484" s="5">
        <v>43719</v>
      </c>
      <c r="W484" s="5">
        <v>43202</v>
      </c>
      <c r="X484" s="1">
        <v>3750000</v>
      </c>
      <c r="Y484" s="1">
        <v>3750000</v>
      </c>
      <c r="Z484" s="5">
        <v>43242</v>
      </c>
      <c r="AA484" s="1">
        <v>3818438</v>
      </c>
      <c r="AB484" s="1" t="s">
        <v>387</v>
      </c>
      <c r="AC484" s="5">
        <v>43284</v>
      </c>
      <c r="AF484" s="1">
        <v>10009</v>
      </c>
      <c r="AI484" s="1" t="s">
        <v>88</v>
      </c>
      <c r="AJ484" s="1">
        <v>2017</v>
      </c>
      <c r="AK484" s="1" t="s">
        <v>49</v>
      </c>
      <c r="AL484" s="1">
        <v>82</v>
      </c>
    </row>
    <row r="485" spans="1:38" x14ac:dyDescent="0.2">
      <c r="A485" s="2" t="str">
        <f>HYPERLINK("https://www.compass.com/listing/438-east-12th-street-unit-phb-manhattan-ny-10009/29514448498626977/","438 E 12th St, Unit PHB")</f>
        <v>438 E 12th St, Unit PHB</v>
      </c>
      <c r="B485" s="2" t="str">
        <f t="shared" si="71"/>
        <v>Steiner East Village</v>
      </c>
      <c r="C485" s="1" t="s">
        <v>52</v>
      </c>
      <c r="D485" s="1" t="s">
        <v>41</v>
      </c>
      <c r="E485" s="3">
        <v>5345813</v>
      </c>
      <c r="F485" s="1">
        <v>3065.2597477064201</v>
      </c>
      <c r="G485" s="1">
        <v>5</v>
      </c>
      <c r="H485" s="1">
        <v>3</v>
      </c>
      <c r="I485" s="1">
        <v>3</v>
      </c>
      <c r="J485" s="1">
        <v>2.5</v>
      </c>
      <c r="K485" s="1">
        <v>2</v>
      </c>
      <c r="L485" s="1">
        <v>1</v>
      </c>
      <c r="M485" s="4">
        <v>1744</v>
      </c>
      <c r="N485" s="1">
        <v>1958</v>
      </c>
      <c r="O485" s="1">
        <v>4612</v>
      </c>
      <c r="P485" s="1">
        <v>2654</v>
      </c>
      <c r="Q485" s="1" t="s">
        <v>42</v>
      </c>
      <c r="S485" s="1" t="s">
        <v>42</v>
      </c>
      <c r="T485" s="1" t="s">
        <v>153</v>
      </c>
      <c r="U485" s="1">
        <v>234</v>
      </c>
      <c r="V485" s="5">
        <v>43643</v>
      </c>
      <c r="W485" s="5">
        <v>42906</v>
      </c>
      <c r="X485" s="1">
        <v>5250000</v>
      </c>
      <c r="Y485" s="1">
        <v>5250000</v>
      </c>
      <c r="Z485" s="5">
        <v>43140</v>
      </c>
      <c r="AA485" s="1">
        <v>5345813</v>
      </c>
      <c r="AB485" s="1" t="s">
        <v>388</v>
      </c>
      <c r="AC485" s="5">
        <v>43293</v>
      </c>
      <c r="AF485" s="1">
        <v>10009</v>
      </c>
      <c r="AI485" s="1" t="s">
        <v>383</v>
      </c>
      <c r="AJ485" s="1">
        <v>2017</v>
      </c>
      <c r="AK485" s="1" t="s">
        <v>49</v>
      </c>
      <c r="AL485" s="1">
        <v>82</v>
      </c>
    </row>
    <row r="486" spans="1:38" x14ac:dyDescent="0.2">
      <c r="A486" s="2" t="str">
        <f>HYPERLINK("https://www.compass.com/listing/438-east-12th-street-unit-3f-manhattan-ny-10009/29514449782084049/","438 E 12th St, Unit 3F")</f>
        <v>438 E 12th St, Unit 3F</v>
      </c>
      <c r="B486" s="2" t="str">
        <f t="shared" si="71"/>
        <v>Steiner East Village</v>
      </c>
      <c r="C486" s="1" t="s">
        <v>52</v>
      </c>
      <c r="D486" s="1" t="s">
        <v>41</v>
      </c>
      <c r="E486" s="3">
        <v>3820755</v>
      </c>
      <c r="F486" s="1">
        <v>2266.1654804270402</v>
      </c>
      <c r="G486" s="1">
        <v>6</v>
      </c>
      <c r="H486" s="1">
        <v>3</v>
      </c>
      <c r="I486" s="1">
        <v>3</v>
      </c>
      <c r="J486" s="1">
        <v>2.5</v>
      </c>
      <c r="K486" s="1">
        <v>2</v>
      </c>
      <c r="L486" s="1">
        <v>1</v>
      </c>
      <c r="M486" s="4">
        <v>1686</v>
      </c>
      <c r="N486" s="1">
        <v>2155</v>
      </c>
      <c r="O486" s="1">
        <v>5075</v>
      </c>
      <c r="P486" s="1">
        <v>2920</v>
      </c>
      <c r="Q486" s="1" t="s">
        <v>42</v>
      </c>
      <c r="S486" s="1" t="s">
        <v>42</v>
      </c>
      <c r="T486" s="1" t="s">
        <v>153</v>
      </c>
      <c r="U486" s="1">
        <v>5</v>
      </c>
      <c r="V486" s="5">
        <v>43746</v>
      </c>
      <c r="W486" s="5">
        <v>43139</v>
      </c>
      <c r="X486" s="1">
        <v>3895000</v>
      </c>
      <c r="Y486" s="1">
        <v>3895000</v>
      </c>
      <c r="Z486" s="5">
        <v>43144</v>
      </c>
      <c r="AA486" s="1">
        <v>3820755</v>
      </c>
      <c r="AB486" s="1" t="s">
        <v>389</v>
      </c>
      <c r="AC486" s="5">
        <v>43297</v>
      </c>
      <c r="AF486" s="1">
        <v>10009</v>
      </c>
      <c r="AI486" s="1" t="s">
        <v>383</v>
      </c>
      <c r="AJ486" s="1">
        <v>2017</v>
      </c>
      <c r="AK486" s="1" t="s">
        <v>49</v>
      </c>
      <c r="AL486" s="1">
        <v>82</v>
      </c>
    </row>
    <row r="487" spans="1:38" x14ac:dyDescent="0.2">
      <c r="A487" s="2" t="str">
        <f>HYPERLINK("https://www.compass.com/listing/438-east-12th-street-unit-phc-manhattan-ny-10009/29517533937691329/","438 E 12th St, Unit PHC")</f>
        <v>438 E 12th St, Unit PHC</v>
      </c>
      <c r="B487" s="2" t="str">
        <f t="shared" si="71"/>
        <v>Steiner East Village</v>
      </c>
      <c r="C487" s="1" t="s">
        <v>52</v>
      </c>
      <c r="D487" s="1" t="s">
        <v>41</v>
      </c>
      <c r="E487" s="3">
        <v>4556669</v>
      </c>
      <c r="F487" s="1">
        <v>2748.29252110977</v>
      </c>
      <c r="G487" s="1">
        <v>4</v>
      </c>
      <c r="H487" s="1">
        <v>2</v>
      </c>
      <c r="I487" s="1">
        <v>3</v>
      </c>
      <c r="J487" s="1">
        <v>2.5</v>
      </c>
      <c r="K487" s="1">
        <v>2</v>
      </c>
      <c r="L487" s="1">
        <v>1</v>
      </c>
      <c r="M487" s="4">
        <v>1658</v>
      </c>
      <c r="N487" s="1">
        <v>1979</v>
      </c>
      <c r="O487" s="1">
        <v>4660</v>
      </c>
      <c r="P487" s="1">
        <v>2681</v>
      </c>
      <c r="Q487" s="1" t="s">
        <v>42</v>
      </c>
      <c r="S487" s="1" t="s">
        <v>42</v>
      </c>
      <c r="T487" s="1" t="s">
        <v>153</v>
      </c>
      <c r="V487" s="5">
        <v>43648</v>
      </c>
      <c r="W487" s="5">
        <v>42684</v>
      </c>
      <c r="X487" s="1">
        <v>4475000</v>
      </c>
      <c r="Y487" s="1">
        <v>4475000</v>
      </c>
      <c r="Z487" s="5">
        <v>42684</v>
      </c>
      <c r="AA487" s="1">
        <v>4556669</v>
      </c>
      <c r="AB487" s="1" t="s">
        <v>390</v>
      </c>
      <c r="AC487" s="5">
        <v>43281</v>
      </c>
      <c r="AF487" s="1">
        <v>10009</v>
      </c>
      <c r="AI487" s="1" t="s">
        <v>391</v>
      </c>
      <c r="AJ487" s="1">
        <v>2017</v>
      </c>
      <c r="AK487" s="1" t="s">
        <v>49</v>
      </c>
      <c r="AL487" s="1">
        <v>82</v>
      </c>
    </row>
    <row r="488" spans="1:38" x14ac:dyDescent="0.2">
      <c r="A488" s="2" t="str">
        <f>HYPERLINK("https://www.compass.com/listing/2-park-place-unit-41b-manhattan-ny-10007/451380328628738185/","2 Park Pl, Unit 41B")</f>
        <v>2 Park Pl, Unit 41B</v>
      </c>
      <c r="B488" s="2" t="str">
        <f t="shared" ref="B488:B489" si="72">HYPERLINK("https://www.compass.com/building/the-woolworth-tower-residences-manhattan-ny/294842395015266853/","The Woolworth Tower Residences")</f>
        <v>The Woolworth Tower Residences</v>
      </c>
      <c r="C488" s="1" t="s">
        <v>65</v>
      </c>
      <c r="D488" s="1" t="s">
        <v>41</v>
      </c>
      <c r="E488" s="3">
        <v>8650000</v>
      </c>
      <c r="F488" s="1">
        <v>3394.81946624803</v>
      </c>
      <c r="G488" s="1">
        <v>4.5</v>
      </c>
      <c r="H488" s="1">
        <v>2</v>
      </c>
      <c r="I488" s="1">
        <v>3</v>
      </c>
      <c r="J488" s="1">
        <v>2.5</v>
      </c>
      <c r="K488" s="1">
        <v>2</v>
      </c>
      <c r="L488" s="1">
        <v>1</v>
      </c>
      <c r="M488" s="4">
        <v>2548</v>
      </c>
      <c r="N488" s="1">
        <v>4307</v>
      </c>
      <c r="O488" s="1">
        <v>7897</v>
      </c>
      <c r="P488" s="1">
        <v>3590</v>
      </c>
      <c r="Q488" s="1" t="s">
        <v>42</v>
      </c>
      <c r="S488" s="1" t="s">
        <v>42</v>
      </c>
      <c r="T488" s="1" t="s">
        <v>153</v>
      </c>
      <c r="V488" s="5">
        <v>44425</v>
      </c>
      <c r="W488" s="5">
        <v>43875</v>
      </c>
      <c r="X488" s="1">
        <v>8650000</v>
      </c>
      <c r="Y488" s="1">
        <v>8650000</v>
      </c>
      <c r="Z488" s="5">
        <v>43875</v>
      </c>
      <c r="AA488" s="1">
        <v>8650000</v>
      </c>
      <c r="AB488" s="1" t="s">
        <v>177</v>
      </c>
      <c r="AC488" s="5">
        <v>43956</v>
      </c>
      <c r="AF488" s="1">
        <v>10007</v>
      </c>
      <c r="AJ488" s="1">
        <v>1913</v>
      </c>
      <c r="AK488" s="1" t="s">
        <v>46</v>
      </c>
      <c r="AL488" s="1">
        <v>32</v>
      </c>
    </row>
    <row r="489" spans="1:38" x14ac:dyDescent="0.2">
      <c r="A489" s="2" t="str">
        <f>HYPERLINK("https://www.compass.com/listing/2-park-place-unit-33a-manhattan-ny-10007/679025273463047993/","2 Park Pl, Unit 33A")</f>
        <v>2 Park Pl, Unit 33A</v>
      </c>
      <c r="B489" s="2" t="str">
        <f t="shared" si="72"/>
        <v>The Woolworth Tower Residences</v>
      </c>
      <c r="C489" s="1" t="s">
        <v>65</v>
      </c>
      <c r="D489" s="1" t="s">
        <v>41</v>
      </c>
      <c r="E489" s="3">
        <v>6400000</v>
      </c>
      <c r="F489" s="1">
        <v>1950.03046922608</v>
      </c>
      <c r="G489" s="1">
        <v>5.5</v>
      </c>
      <c r="H489" s="1">
        <v>3</v>
      </c>
      <c r="I489" s="1">
        <v>4</v>
      </c>
      <c r="J489" s="1">
        <v>3.5</v>
      </c>
      <c r="K489" s="1">
        <v>3</v>
      </c>
      <c r="L489" s="1">
        <v>1</v>
      </c>
      <c r="M489" s="4">
        <v>3282</v>
      </c>
      <c r="N489" s="1">
        <v>5659</v>
      </c>
      <c r="O489" s="1">
        <v>10283</v>
      </c>
      <c r="P489" s="1">
        <v>4624</v>
      </c>
      <c r="Q489" s="1" t="s">
        <v>42</v>
      </c>
      <c r="S489" s="1" t="s">
        <v>42</v>
      </c>
      <c r="T489" s="1" t="s">
        <v>153</v>
      </c>
      <c r="V489" s="5">
        <v>44342</v>
      </c>
      <c r="W489" s="5">
        <v>44189</v>
      </c>
      <c r="X489" s="1">
        <v>6995000</v>
      </c>
      <c r="Y489" s="1">
        <v>6995000</v>
      </c>
      <c r="Z489" s="5">
        <v>44189</v>
      </c>
      <c r="AA489" s="1">
        <v>6400000</v>
      </c>
      <c r="AB489" s="1" t="s">
        <v>392</v>
      </c>
      <c r="AC489" s="5">
        <v>44273</v>
      </c>
      <c r="AF489" s="1">
        <v>10007</v>
      </c>
      <c r="AJ489" s="1">
        <v>1913</v>
      </c>
      <c r="AK489" s="1" t="s">
        <v>46</v>
      </c>
      <c r="AL489" s="1">
        <v>32</v>
      </c>
    </row>
    <row r="490" spans="1:38" x14ac:dyDescent="0.2">
      <c r="A490" s="2" t="str">
        <f>HYPERLINK("https://www.compass.com/listing/160-west-12th-street-unit-34-manhattan-ny-10011/656697620166469857/","160 W 12th St, Unit 34")</f>
        <v>160 W 12th St, Unit 34</v>
      </c>
      <c r="B490" s="2" t="str">
        <f>HYPERLINK("https://www.compass.com/building/the-greenwich-lane-manhattan-ny/282059161326355877/","The Greenwich Lane")</f>
        <v>The Greenwich Lane</v>
      </c>
      <c r="C490" s="1" t="s">
        <v>40</v>
      </c>
      <c r="D490" s="1" t="s">
        <v>41</v>
      </c>
      <c r="E490" s="3">
        <v>7350000</v>
      </c>
      <c r="F490" s="1">
        <v>2608.2327892121998</v>
      </c>
      <c r="G490" s="1">
        <v>6</v>
      </c>
      <c r="H490" s="1">
        <v>4</v>
      </c>
      <c r="I490" s="1">
        <v>5</v>
      </c>
      <c r="J490" s="1">
        <v>4.5</v>
      </c>
      <c r="K490" s="1">
        <v>4</v>
      </c>
      <c r="L490" s="1">
        <v>1</v>
      </c>
      <c r="M490" s="4">
        <v>2818</v>
      </c>
      <c r="N490" s="1">
        <v>4875</v>
      </c>
      <c r="O490" s="1">
        <v>11042</v>
      </c>
      <c r="P490" s="1">
        <v>6167</v>
      </c>
      <c r="Q490" s="1" t="s">
        <v>42</v>
      </c>
      <c r="S490" s="1" t="s">
        <v>42</v>
      </c>
      <c r="T490" s="1" t="s">
        <v>153</v>
      </c>
      <c r="U490" s="1">
        <v>130</v>
      </c>
      <c r="V490" s="5">
        <v>44323</v>
      </c>
      <c r="W490" s="5">
        <v>44156</v>
      </c>
      <c r="X490" s="1">
        <v>7995000</v>
      </c>
      <c r="Y490" s="1">
        <v>7750000</v>
      </c>
      <c r="Z490" s="5">
        <v>44287</v>
      </c>
      <c r="AA490" s="1">
        <v>7350000</v>
      </c>
      <c r="AB490" s="1" t="s">
        <v>393</v>
      </c>
      <c r="AC490" s="5">
        <v>44307</v>
      </c>
      <c r="AF490" s="1">
        <v>10011</v>
      </c>
      <c r="AI490" s="1" t="s">
        <v>233</v>
      </c>
      <c r="AJ490" s="1">
        <v>2016</v>
      </c>
      <c r="AK490" s="1" t="s">
        <v>49</v>
      </c>
      <c r="AL490" s="1">
        <v>57</v>
      </c>
    </row>
    <row r="491" spans="1:38" x14ac:dyDescent="0.2">
      <c r="A491" s="2" t="str">
        <f>HYPERLINK("https://www.compass.com/listing/2-park-place-unit-34a-manhattan-ny-10007/207101190838702417/","2 Park Pl, Unit 34A")</f>
        <v>2 Park Pl, Unit 34A</v>
      </c>
      <c r="B491" s="2" t="str">
        <f t="shared" ref="B491:B493" si="73">HYPERLINK("https://www.compass.com/building/the-woolworth-tower-residences-manhattan-ny/294842395015266853/","The Woolworth Tower Residences")</f>
        <v>The Woolworth Tower Residences</v>
      </c>
      <c r="C491" s="1" t="s">
        <v>65</v>
      </c>
      <c r="D491" s="1" t="s">
        <v>41</v>
      </c>
      <c r="E491" s="3">
        <v>6750000</v>
      </c>
      <c r="F491" s="1">
        <v>2056.6727605118799</v>
      </c>
      <c r="G491" s="1">
        <v>5</v>
      </c>
      <c r="H491" s="1">
        <v>3</v>
      </c>
      <c r="I491" s="1">
        <v>4</v>
      </c>
      <c r="J491" s="1">
        <v>3.5</v>
      </c>
      <c r="K491" s="1">
        <v>3</v>
      </c>
      <c r="L491" s="1">
        <v>1</v>
      </c>
      <c r="M491" s="4">
        <v>3282</v>
      </c>
      <c r="N491" s="1">
        <v>5548</v>
      </c>
      <c r="O491" s="1">
        <v>10193</v>
      </c>
      <c r="P491" s="1">
        <v>4645</v>
      </c>
      <c r="Q491" s="1" t="s">
        <v>42</v>
      </c>
      <c r="S491" s="1" t="s">
        <v>42</v>
      </c>
      <c r="T491" s="1" t="s">
        <v>153</v>
      </c>
      <c r="U491" s="1">
        <v>281</v>
      </c>
      <c r="V491" s="5">
        <v>44342</v>
      </c>
      <c r="W491" s="5">
        <v>43538</v>
      </c>
      <c r="X491" s="1">
        <v>8995000</v>
      </c>
      <c r="Y491" s="1">
        <v>7195000</v>
      </c>
      <c r="Z491" s="5">
        <v>43819</v>
      </c>
      <c r="AA491" s="1">
        <v>6750000</v>
      </c>
      <c r="AB491" s="1" t="s">
        <v>394</v>
      </c>
      <c r="AC491" s="5">
        <v>43829</v>
      </c>
      <c r="AF491" s="1">
        <v>10007</v>
      </c>
      <c r="AJ491" s="1">
        <v>1913</v>
      </c>
      <c r="AK491" s="1" t="s">
        <v>46</v>
      </c>
      <c r="AL491" s="1">
        <v>32</v>
      </c>
    </row>
    <row r="492" spans="1:38" x14ac:dyDescent="0.2">
      <c r="A492" s="2" t="str">
        <f>HYPERLINK("https://www.compass.com/listing/2-park-place-unit-31a-manhattan-ny-10007/247736660249344449/","2 Park Pl, Unit 31A")</f>
        <v>2 Park Pl, Unit 31A</v>
      </c>
      <c r="B492" s="2" t="str">
        <f t="shared" si="73"/>
        <v>The Woolworth Tower Residences</v>
      </c>
      <c r="C492" s="1" t="s">
        <v>65</v>
      </c>
      <c r="D492" s="1" t="s">
        <v>41</v>
      </c>
      <c r="E492" s="3">
        <v>16000000</v>
      </c>
      <c r="F492" s="1">
        <v>2670.67267568018</v>
      </c>
      <c r="G492" s="1">
        <v>8</v>
      </c>
      <c r="H492" s="1">
        <v>4</v>
      </c>
      <c r="I492" s="1">
        <v>5</v>
      </c>
      <c r="J492" s="1">
        <v>4.5</v>
      </c>
      <c r="K492" s="1">
        <v>4</v>
      </c>
      <c r="L492" s="1">
        <v>1</v>
      </c>
      <c r="M492" s="4">
        <v>5991</v>
      </c>
      <c r="N492" s="1">
        <v>10394</v>
      </c>
      <c r="O492" s="1">
        <v>19057</v>
      </c>
      <c r="P492" s="1">
        <v>8663</v>
      </c>
      <c r="Q492" s="1" t="s">
        <v>42</v>
      </c>
      <c r="S492" s="1" t="s">
        <v>42</v>
      </c>
      <c r="T492" s="1" t="s">
        <v>153</v>
      </c>
      <c r="U492" s="1">
        <v>301</v>
      </c>
      <c r="V492" s="5">
        <v>44342</v>
      </c>
      <c r="W492" s="5">
        <v>43594</v>
      </c>
      <c r="X492" s="1">
        <v>19450000</v>
      </c>
      <c r="Y492" s="1">
        <v>19450000</v>
      </c>
      <c r="Z492" s="5">
        <v>43896</v>
      </c>
      <c r="AA492" s="1">
        <v>16000000</v>
      </c>
      <c r="AB492" s="1" t="s">
        <v>395</v>
      </c>
      <c r="AC492" s="5">
        <v>43931</v>
      </c>
      <c r="AF492" s="1">
        <v>10007</v>
      </c>
      <c r="AI492" s="1" t="s">
        <v>75</v>
      </c>
      <c r="AJ492" s="1">
        <v>1913</v>
      </c>
      <c r="AK492" s="1" t="s">
        <v>46</v>
      </c>
      <c r="AL492" s="1">
        <v>32</v>
      </c>
    </row>
    <row r="493" spans="1:38" x14ac:dyDescent="0.2">
      <c r="A493" s="2" t="str">
        <f>HYPERLINK("https://www.compass.com/listing/2-park-place-unit-35a-manhattan-ny-10007/418873522528151617/","2 Park Pl, Unit 35A")</f>
        <v>2 Park Pl, Unit 35A</v>
      </c>
      <c r="B493" s="2" t="str">
        <f t="shared" si="73"/>
        <v>The Woolworth Tower Residences</v>
      </c>
      <c r="C493" s="1" t="s">
        <v>65</v>
      </c>
      <c r="D493" s="1" t="s">
        <v>41</v>
      </c>
      <c r="E493" s="3">
        <v>6500000</v>
      </c>
      <c r="F493" s="1">
        <v>1980.49969530773</v>
      </c>
      <c r="G493" s="1">
        <v>5.5</v>
      </c>
      <c r="H493" s="1">
        <v>3</v>
      </c>
      <c r="I493" s="1">
        <v>4</v>
      </c>
      <c r="J493" s="1">
        <v>3.5</v>
      </c>
      <c r="K493" s="1">
        <v>3</v>
      </c>
      <c r="L493" s="1">
        <v>1</v>
      </c>
      <c r="M493" s="4">
        <v>3282</v>
      </c>
      <c r="N493" s="1">
        <v>5548</v>
      </c>
      <c r="O493" s="1">
        <v>10172</v>
      </c>
      <c r="P493" s="1">
        <v>4624</v>
      </c>
      <c r="Q493" s="1" t="s">
        <v>42</v>
      </c>
      <c r="S493" s="1" t="s">
        <v>42</v>
      </c>
      <c r="T493" s="1" t="s">
        <v>153</v>
      </c>
      <c r="U493" s="1">
        <v>263</v>
      </c>
      <c r="V493" s="5">
        <v>44342</v>
      </c>
      <c r="W493" s="5">
        <v>43830</v>
      </c>
      <c r="X493" s="1">
        <v>7295000</v>
      </c>
      <c r="Y493" s="1">
        <v>7295000</v>
      </c>
      <c r="Z493" s="5">
        <v>44188</v>
      </c>
      <c r="AA493" s="1">
        <v>6500000</v>
      </c>
      <c r="AB493" s="1" t="s">
        <v>396</v>
      </c>
      <c r="AC493" s="5">
        <v>44195</v>
      </c>
      <c r="AF493" s="1">
        <v>10007</v>
      </c>
      <c r="AJ493" s="1">
        <v>1913</v>
      </c>
      <c r="AK493" s="1" t="s">
        <v>46</v>
      </c>
      <c r="AL493" s="1">
        <v>32</v>
      </c>
    </row>
    <row r="494" spans="1:38" x14ac:dyDescent="0.2">
      <c r="A494" s="2" t="str">
        <f>HYPERLINK("https://www.compass.com/listing/160-west-12th-street-unit-32-manhattan-ny-10011/29367250129647585/","160 W 12th St, Unit 32")</f>
        <v>160 W 12th St, Unit 32</v>
      </c>
      <c r="B494" s="2" t="str">
        <f>HYPERLINK("https://www.compass.com/building/the-greenwich-lane-manhattan-ny/282059161326355877/","The Greenwich Lane")</f>
        <v>The Greenwich Lane</v>
      </c>
      <c r="C494" s="1" t="s">
        <v>40</v>
      </c>
      <c r="D494" s="1" t="s">
        <v>41</v>
      </c>
      <c r="E494" s="3">
        <v>2398797</v>
      </c>
      <c r="F494" s="1">
        <v>2541.0985169491501</v>
      </c>
      <c r="G494" s="1">
        <v>3</v>
      </c>
      <c r="H494" s="1">
        <v>1</v>
      </c>
      <c r="I494" s="1">
        <v>1</v>
      </c>
      <c r="J494" s="1">
        <v>1</v>
      </c>
      <c r="M494" s="1">
        <v>944</v>
      </c>
      <c r="N494" s="1">
        <v>1613</v>
      </c>
      <c r="O494" s="1">
        <v>3194</v>
      </c>
      <c r="P494" s="1">
        <v>1581</v>
      </c>
      <c r="Q494" s="1" t="s">
        <v>42</v>
      </c>
      <c r="S494" s="1" t="s">
        <v>42</v>
      </c>
      <c r="T494" s="1" t="s">
        <v>153</v>
      </c>
      <c r="V494" s="5">
        <v>43673</v>
      </c>
      <c r="W494" s="5">
        <v>41705</v>
      </c>
      <c r="X494" s="1">
        <v>2350000</v>
      </c>
      <c r="Y494" s="1">
        <v>2350000</v>
      </c>
      <c r="Z494" s="5">
        <v>41705</v>
      </c>
      <c r="AA494" s="1">
        <v>2398797</v>
      </c>
      <c r="AB494" s="1" t="s">
        <v>397</v>
      </c>
      <c r="AC494" s="5">
        <v>42434</v>
      </c>
      <c r="AF494" s="1">
        <v>10011</v>
      </c>
      <c r="AI494" s="1" t="s">
        <v>45</v>
      </c>
      <c r="AJ494" s="1">
        <v>2016</v>
      </c>
      <c r="AK494" s="1" t="s">
        <v>46</v>
      </c>
      <c r="AL494" s="1">
        <v>57</v>
      </c>
    </row>
    <row r="495" spans="1:38" x14ac:dyDescent="0.2">
      <c r="A495" s="2" t="str">
        <f>HYPERLINK("https://www.compass.com/listing/215-sullivan-street-unit-tha-manhattan-ny-10012/30295627183185313/","215 Sullivan St, Unit THA")</f>
        <v>215 Sullivan St, Unit THA</v>
      </c>
      <c r="B495" s="2" t="str">
        <f>HYPERLINK("https://www.compass.com/building/215-sullivan-st-manhattan-ny-10012/292810405493901557/","215 Sullivan St")</f>
        <v>215 Sullivan St</v>
      </c>
      <c r="C495" s="1" t="s">
        <v>159</v>
      </c>
      <c r="D495" s="1" t="s">
        <v>41</v>
      </c>
      <c r="E495" s="3">
        <v>14625000</v>
      </c>
      <c r="F495" s="1">
        <v>1966.78321678321</v>
      </c>
      <c r="G495" s="1">
        <v>9</v>
      </c>
      <c r="H495" s="1">
        <v>6</v>
      </c>
      <c r="I495" s="1">
        <v>6</v>
      </c>
      <c r="J495" s="1">
        <v>6</v>
      </c>
      <c r="K495" s="1">
        <v>5</v>
      </c>
      <c r="L495" s="1">
        <v>2</v>
      </c>
      <c r="M495" s="4">
        <v>7436</v>
      </c>
      <c r="N495" s="1">
        <v>8425</v>
      </c>
      <c r="O495" s="1">
        <v>18532</v>
      </c>
      <c r="P495" s="1">
        <v>10107</v>
      </c>
      <c r="Q495" s="1" t="s">
        <v>42</v>
      </c>
      <c r="S495" s="1" t="s">
        <v>42</v>
      </c>
      <c r="T495" s="1" t="s">
        <v>153</v>
      </c>
      <c r="U495" s="1">
        <v>146</v>
      </c>
      <c r="V495" s="5">
        <v>44336</v>
      </c>
      <c r="W495" s="5">
        <v>43294</v>
      </c>
      <c r="X495" s="1">
        <v>17700000</v>
      </c>
      <c r="Y495" s="1">
        <v>16995000</v>
      </c>
      <c r="AA495" s="1">
        <v>14625000</v>
      </c>
      <c r="AB495" s="1" t="s">
        <v>398</v>
      </c>
      <c r="AC495" s="5">
        <v>43440</v>
      </c>
      <c r="AF495" s="1">
        <v>10012</v>
      </c>
      <c r="AI495" s="1" t="s">
        <v>80</v>
      </c>
      <c r="AJ495" s="1">
        <v>2014</v>
      </c>
      <c r="AK495" s="1" t="s">
        <v>86</v>
      </c>
      <c r="AL495" s="1">
        <v>25</v>
      </c>
    </row>
    <row r="496" spans="1:38" x14ac:dyDescent="0.2">
      <c r="A496" s="2" t="str">
        <f>HYPERLINK("https://www.compass.com/listing/160-west-12th-street-unit-92-manhattan-ny-10011/29367264490944721/","160 W 12th St, Unit 92")</f>
        <v>160 W 12th St, Unit 92</v>
      </c>
      <c r="B496" s="2" t="str">
        <f t="shared" ref="B496:B498" si="74">HYPERLINK("https://www.compass.com/building/the-greenwich-lane-manhattan-ny/282059161326355877/","The Greenwich Lane")</f>
        <v>The Greenwich Lane</v>
      </c>
      <c r="C496" s="1" t="s">
        <v>40</v>
      </c>
      <c r="D496" s="1" t="s">
        <v>41</v>
      </c>
      <c r="E496" s="3">
        <v>6112404</v>
      </c>
      <c r="F496" s="1">
        <v>3011.0364532019698</v>
      </c>
      <c r="G496" s="1">
        <v>4</v>
      </c>
      <c r="H496" s="1">
        <v>2</v>
      </c>
      <c r="I496" s="1">
        <v>2</v>
      </c>
      <c r="J496" s="1">
        <v>2</v>
      </c>
      <c r="K496" s="1">
        <v>2</v>
      </c>
      <c r="M496" s="4">
        <v>2030</v>
      </c>
      <c r="N496" s="1">
        <v>3571</v>
      </c>
      <c r="O496" s="1">
        <v>7071</v>
      </c>
      <c r="P496" s="1">
        <v>3500</v>
      </c>
      <c r="Q496" s="1" t="s">
        <v>42</v>
      </c>
      <c r="S496" s="1" t="s">
        <v>42</v>
      </c>
      <c r="T496" s="1" t="s">
        <v>153</v>
      </c>
      <c r="V496" s="5">
        <v>43642</v>
      </c>
      <c r="W496" s="5">
        <v>41628</v>
      </c>
      <c r="X496" s="1">
        <v>5990000</v>
      </c>
      <c r="Y496" s="1">
        <v>5990000</v>
      </c>
      <c r="Z496" s="5">
        <v>41628</v>
      </c>
      <c r="AA496" s="1">
        <v>6112404</v>
      </c>
      <c r="AB496" s="1" t="s">
        <v>399</v>
      </c>
      <c r="AC496" s="5">
        <v>42487</v>
      </c>
      <c r="AF496" s="1">
        <v>10011</v>
      </c>
      <c r="AI496" s="1" t="s">
        <v>45</v>
      </c>
      <c r="AJ496" s="1">
        <v>2016</v>
      </c>
      <c r="AK496" s="1" t="s">
        <v>46</v>
      </c>
      <c r="AL496" s="1">
        <v>57</v>
      </c>
    </row>
    <row r="497" spans="1:38" x14ac:dyDescent="0.2">
      <c r="A497" s="2" t="str">
        <f>HYPERLINK("https://www.compass.com/listing/160-west-12th-street-unit-72-manhattan-ny-10011/803405647542255281/","160 W 12th St, Unit 72")</f>
        <v>160 W 12th St, Unit 72</v>
      </c>
      <c r="B497" s="2" t="str">
        <f t="shared" si="74"/>
        <v>The Greenwich Lane</v>
      </c>
      <c r="C497" s="1" t="s">
        <v>40</v>
      </c>
      <c r="D497" s="1" t="s">
        <v>41</v>
      </c>
      <c r="E497" s="3">
        <v>5857811</v>
      </c>
      <c r="F497" s="1">
        <v>2864.4554669926601</v>
      </c>
      <c r="G497" s="1">
        <v>4</v>
      </c>
      <c r="H497" s="1">
        <v>2</v>
      </c>
      <c r="I497" s="1">
        <v>2</v>
      </c>
      <c r="J497" s="1">
        <v>2</v>
      </c>
      <c r="K497" s="1">
        <v>2</v>
      </c>
      <c r="M497" s="4">
        <v>2045</v>
      </c>
      <c r="N497" s="1">
        <v>3563</v>
      </c>
      <c r="O497" s="1">
        <v>7055</v>
      </c>
      <c r="P497" s="1">
        <v>3492</v>
      </c>
      <c r="Q497" s="1" t="s">
        <v>42</v>
      </c>
      <c r="S497" s="1" t="s">
        <v>42</v>
      </c>
      <c r="T497" s="1" t="s">
        <v>153</v>
      </c>
      <c r="U497" s="1">
        <v>708</v>
      </c>
      <c r="V497" s="5">
        <v>42543</v>
      </c>
      <c r="W497" s="5">
        <v>41585</v>
      </c>
      <c r="X497" s="1">
        <v>5740000</v>
      </c>
      <c r="Y497" s="1">
        <v>5740000</v>
      </c>
      <c r="Z497" s="5">
        <v>42294</v>
      </c>
      <c r="AA497" s="1">
        <v>5857811.4299999997</v>
      </c>
      <c r="AB497" s="1" t="s">
        <v>400</v>
      </c>
      <c r="AC497" s="5">
        <v>42514</v>
      </c>
      <c r="AF497" s="1">
        <v>10011</v>
      </c>
      <c r="AI497" s="1" t="s">
        <v>155</v>
      </c>
      <c r="AJ497" s="1">
        <v>2016</v>
      </c>
      <c r="AK497" s="1" t="s">
        <v>46</v>
      </c>
      <c r="AL497" s="1">
        <v>57</v>
      </c>
    </row>
    <row r="498" spans="1:38" x14ac:dyDescent="0.2">
      <c r="A498" s="2" t="str">
        <f>HYPERLINK("https://www.compass.com/listing/160-west-12th-street-unit-102-manhattan-ny-10011/29367266579663233/","160 W 12th St, Unit 102")</f>
        <v>160 W 12th St, Unit 102</v>
      </c>
      <c r="B498" s="2" t="str">
        <f t="shared" si="74"/>
        <v>The Greenwich Lane</v>
      </c>
      <c r="C498" s="1" t="s">
        <v>40</v>
      </c>
      <c r="D498" s="1" t="s">
        <v>41</v>
      </c>
      <c r="E498" s="3">
        <v>4872484</v>
      </c>
      <c r="F498" s="1">
        <v>3362.6528640441602</v>
      </c>
      <c r="G498" s="1">
        <v>3</v>
      </c>
      <c r="H498" s="1">
        <v>1</v>
      </c>
      <c r="I498" s="1">
        <v>2</v>
      </c>
      <c r="J498" s="1">
        <v>2</v>
      </c>
      <c r="K498" s="1">
        <v>2</v>
      </c>
      <c r="M498" s="4">
        <v>1449</v>
      </c>
      <c r="N498" s="1">
        <v>2822</v>
      </c>
      <c r="O498" s="1">
        <v>6068</v>
      </c>
      <c r="P498" s="1">
        <v>3246</v>
      </c>
      <c r="Q498" s="1" t="s">
        <v>42</v>
      </c>
      <c r="S498" s="1" t="s">
        <v>42</v>
      </c>
      <c r="T498" s="1" t="s">
        <v>153</v>
      </c>
      <c r="V498" s="5">
        <v>43631</v>
      </c>
      <c r="W498" s="5">
        <v>41623</v>
      </c>
      <c r="X498" s="1">
        <v>4775000</v>
      </c>
      <c r="Y498" s="1">
        <v>4775000</v>
      </c>
      <c r="Z498" s="5">
        <v>41623</v>
      </c>
      <c r="AA498" s="1">
        <v>4872484</v>
      </c>
      <c r="AB498" s="1" t="s">
        <v>401</v>
      </c>
      <c r="AC498" s="5">
        <v>42580</v>
      </c>
      <c r="AF498" s="1">
        <v>10011</v>
      </c>
      <c r="AI498" s="1" t="s">
        <v>233</v>
      </c>
      <c r="AJ498" s="1">
        <v>2016</v>
      </c>
      <c r="AK498" s="1" t="s">
        <v>46</v>
      </c>
      <c r="AL498" s="1">
        <v>57</v>
      </c>
    </row>
    <row r="499" spans="1:38" x14ac:dyDescent="0.2">
      <c r="A499" s="2" t="str">
        <f>HYPERLINK("https://www.compass.com/listing/438-east-12th-street-unit-phg-manhattan-ny-10009/161601457634687585/","438 E 12th St, Unit PHG")</f>
        <v>438 E 12th St, Unit PHG</v>
      </c>
      <c r="B499" s="2" t="str">
        <f t="shared" ref="B499:B501" si="75">HYPERLINK("https://www.compass.com/building/steiner-east-village-manhattan-ny/281900317572873557/","Steiner East Village")</f>
        <v>Steiner East Village</v>
      </c>
      <c r="C499" s="1" t="s">
        <v>52</v>
      </c>
      <c r="D499" s="1" t="s">
        <v>41</v>
      </c>
      <c r="E499" s="3">
        <v>5850000</v>
      </c>
      <c r="F499" s="1">
        <v>2590.7883082373701</v>
      </c>
      <c r="G499" s="1">
        <v>7</v>
      </c>
      <c r="H499" s="1">
        <v>4</v>
      </c>
      <c r="I499" s="1">
        <v>4</v>
      </c>
      <c r="J499" s="1">
        <v>3.5</v>
      </c>
      <c r="K499" s="1">
        <v>3</v>
      </c>
      <c r="L499" s="1">
        <v>1</v>
      </c>
      <c r="M499" s="4">
        <v>2258</v>
      </c>
      <c r="N499" s="1">
        <v>2579</v>
      </c>
      <c r="O499" s="1">
        <v>6074</v>
      </c>
      <c r="P499" s="1">
        <v>3495</v>
      </c>
      <c r="Q499" s="1" t="s">
        <v>42</v>
      </c>
      <c r="S499" s="1" t="s">
        <v>42</v>
      </c>
      <c r="T499" s="1" t="s">
        <v>153</v>
      </c>
      <c r="U499" s="1">
        <v>403</v>
      </c>
      <c r="V499" s="5">
        <v>44323</v>
      </c>
      <c r="W499" s="5">
        <v>43409</v>
      </c>
      <c r="AA499" s="1">
        <v>5850000</v>
      </c>
      <c r="AB499" s="1" t="s">
        <v>402</v>
      </c>
      <c r="AC499" s="5">
        <v>43812</v>
      </c>
      <c r="AF499" s="1">
        <v>10009</v>
      </c>
      <c r="AI499" s="1" t="s">
        <v>385</v>
      </c>
      <c r="AJ499" s="1">
        <v>2017</v>
      </c>
      <c r="AK499" s="1" t="s">
        <v>49</v>
      </c>
      <c r="AL499" s="1">
        <v>82</v>
      </c>
    </row>
    <row r="500" spans="1:38" x14ac:dyDescent="0.2">
      <c r="A500" s="2" t="str">
        <f>HYPERLINK("https://www.compass.com/listing/438-east-12th-street-unit-phe-manhattan-ny-10009/29514452164448817/","438 E 12th St, Unit PHE")</f>
        <v>438 E 12th St, Unit PHE</v>
      </c>
      <c r="B500" s="2" t="str">
        <f t="shared" si="75"/>
        <v>Steiner East Village</v>
      </c>
      <c r="C500" s="1" t="s">
        <v>52</v>
      </c>
      <c r="D500" s="1" t="s">
        <v>41</v>
      </c>
      <c r="E500" s="3">
        <v>11250000</v>
      </c>
      <c r="F500" s="1">
        <v>3230.9017805858698</v>
      </c>
      <c r="G500" s="1">
        <v>7</v>
      </c>
      <c r="H500" s="1">
        <v>4</v>
      </c>
      <c r="I500" s="1">
        <v>5</v>
      </c>
      <c r="J500" s="1">
        <v>4.5</v>
      </c>
      <c r="K500" s="1">
        <v>4</v>
      </c>
      <c r="L500" s="1">
        <v>1</v>
      </c>
      <c r="M500" s="4">
        <v>3482</v>
      </c>
      <c r="N500" s="1">
        <v>4018</v>
      </c>
      <c r="O500" s="1">
        <v>9464</v>
      </c>
      <c r="P500" s="1">
        <v>5446</v>
      </c>
      <c r="Q500" s="1" t="s">
        <v>42</v>
      </c>
      <c r="S500" s="1" t="s">
        <v>42</v>
      </c>
      <c r="T500" s="1" t="s">
        <v>153</v>
      </c>
      <c r="U500" s="1">
        <v>43</v>
      </c>
      <c r="V500" s="5">
        <v>43685</v>
      </c>
      <c r="W500" s="5">
        <v>42460</v>
      </c>
      <c r="X500" s="1">
        <v>11250000</v>
      </c>
      <c r="Y500" s="1">
        <v>11250000</v>
      </c>
      <c r="Z500" s="5">
        <v>42504</v>
      </c>
      <c r="AA500" s="1">
        <v>11250000</v>
      </c>
      <c r="AB500" s="1" t="s">
        <v>177</v>
      </c>
      <c r="AC500" s="5">
        <v>43654</v>
      </c>
      <c r="AF500" s="1">
        <v>10009</v>
      </c>
      <c r="AI500" s="1" t="s">
        <v>403</v>
      </c>
      <c r="AJ500" s="1">
        <v>2017</v>
      </c>
      <c r="AK500" s="1" t="s">
        <v>49</v>
      </c>
      <c r="AL500" s="1">
        <v>82</v>
      </c>
    </row>
    <row r="501" spans="1:38" x14ac:dyDescent="0.2">
      <c r="A501" s="2" t="str">
        <f>HYPERLINK("https://www.compass.com/listing/438-east-12th-street-unit-phd-manhattan-ny-10009/29517459664953361/","438 E 12th St, Unit PHD")</f>
        <v>438 E 12th St, Unit PHD</v>
      </c>
      <c r="B501" s="2" t="str">
        <f t="shared" si="75"/>
        <v>Steiner East Village</v>
      </c>
      <c r="C501" s="1" t="s">
        <v>52</v>
      </c>
      <c r="D501" s="1" t="s">
        <v>41</v>
      </c>
      <c r="E501" s="3">
        <v>8865000</v>
      </c>
      <c r="F501" s="1">
        <v>2804.4922492882001</v>
      </c>
      <c r="G501" s="1">
        <v>6</v>
      </c>
      <c r="H501" s="1">
        <v>3</v>
      </c>
      <c r="I501" s="1">
        <v>4</v>
      </c>
      <c r="J501" s="1">
        <v>3.5</v>
      </c>
      <c r="M501" s="4">
        <v>3161</v>
      </c>
      <c r="N501" s="1">
        <v>3643</v>
      </c>
      <c r="O501" s="1">
        <v>8579</v>
      </c>
      <c r="P501" s="1">
        <v>4936</v>
      </c>
      <c r="Q501" s="1" t="s">
        <v>42</v>
      </c>
      <c r="S501" s="1" t="s">
        <v>42</v>
      </c>
      <c r="T501" s="1" t="s">
        <v>153</v>
      </c>
      <c r="V501" s="5">
        <v>43643</v>
      </c>
      <c r="W501" s="5">
        <v>42759</v>
      </c>
      <c r="X501" s="1">
        <v>8950000</v>
      </c>
      <c r="Y501" s="1">
        <v>8950000</v>
      </c>
      <c r="Z501" s="5">
        <v>42759</v>
      </c>
      <c r="AA501" s="1">
        <v>8865000</v>
      </c>
      <c r="AB501" s="1" t="s">
        <v>404</v>
      </c>
      <c r="AC501" s="5">
        <v>43283</v>
      </c>
      <c r="AF501" s="1">
        <v>10009</v>
      </c>
      <c r="AI501" s="1" t="s">
        <v>383</v>
      </c>
      <c r="AJ501" s="1">
        <v>2017</v>
      </c>
      <c r="AK501" s="1" t="s">
        <v>49</v>
      </c>
      <c r="AL501" s="1">
        <v>82</v>
      </c>
    </row>
    <row r="502" spans="1:38" x14ac:dyDescent="0.2">
      <c r="A502" s="2" t="str">
        <f>HYPERLINK("https://www.compass.com/listing/160-east-22nd-street-unit-3c-manhattan-ny-10010/803334820335433401/","160 E 22nd St, Unit 3C")</f>
        <v>160 E 22nd St, Unit 3C</v>
      </c>
      <c r="B502" s="2" t="str">
        <f>HYPERLINK("https://www.compass.com/building/160-e-22nd-st-manhattan-ny-10010/292796862321154661/","160 E 22nd St")</f>
        <v>160 E 22nd St</v>
      </c>
      <c r="C502" s="1" t="s">
        <v>54</v>
      </c>
      <c r="D502" s="1" t="s">
        <v>41</v>
      </c>
      <c r="E502" s="3">
        <v>2650000</v>
      </c>
      <c r="F502" s="1">
        <v>2336.8606701939998</v>
      </c>
      <c r="G502" s="1">
        <v>4</v>
      </c>
      <c r="H502" s="1">
        <v>2</v>
      </c>
      <c r="I502" s="1">
        <v>2</v>
      </c>
      <c r="J502" s="1">
        <v>2</v>
      </c>
      <c r="M502" s="4">
        <v>1134</v>
      </c>
      <c r="N502" s="1">
        <v>1075</v>
      </c>
      <c r="O502" s="1">
        <v>1475</v>
      </c>
      <c r="P502" s="1">
        <v>400</v>
      </c>
      <c r="Q502" s="1" t="s">
        <v>42</v>
      </c>
      <c r="S502" s="1" t="s">
        <v>42</v>
      </c>
      <c r="T502" s="1" t="s">
        <v>153</v>
      </c>
      <c r="U502" s="1">
        <v>376</v>
      </c>
      <c r="V502" s="5">
        <v>42879</v>
      </c>
      <c r="W502" s="5">
        <v>42041</v>
      </c>
      <c r="X502" s="1">
        <v>2750000</v>
      </c>
      <c r="Y502" s="1">
        <v>2750000</v>
      </c>
      <c r="AA502" s="1">
        <v>2650000</v>
      </c>
      <c r="AB502" s="1" t="s">
        <v>405</v>
      </c>
      <c r="AC502" s="5">
        <v>42417</v>
      </c>
      <c r="AF502" s="1">
        <v>10010</v>
      </c>
      <c r="AI502" s="1" t="s">
        <v>406</v>
      </c>
      <c r="AJ502" s="1">
        <v>2012</v>
      </c>
      <c r="AK502" s="1" t="s">
        <v>49</v>
      </c>
      <c r="AL502" s="1">
        <v>81</v>
      </c>
    </row>
    <row r="503" spans="1:38" x14ac:dyDescent="0.2">
      <c r="A503" s="2" t="str">
        <f>HYPERLINK("https://www.compass.com/listing/160-west-12th-street-unit-96-manhattan-ny-10011/803336303953067705/","160 W 12th St, Unit 96")</f>
        <v>160 W 12th St, Unit 96</v>
      </c>
      <c r="B503" s="2" t="str">
        <f t="shared" ref="B503:B510" si="76">HYPERLINK("https://www.compass.com/building/the-greenwich-lane-manhattan-ny/282059161326355877/","The Greenwich Lane")</f>
        <v>The Greenwich Lane</v>
      </c>
      <c r="C503" s="1" t="s">
        <v>40</v>
      </c>
      <c r="D503" s="1" t="s">
        <v>41</v>
      </c>
      <c r="E503" s="3">
        <v>8758750</v>
      </c>
      <c r="F503" s="1">
        <v>3076.48401826484</v>
      </c>
      <c r="G503" s="1">
        <v>8</v>
      </c>
      <c r="H503" s="1">
        <v>3</v>
      </c>
      <c r="I503" s="1">
        <v>4</v>
      </c>
      <c r="J503" s="1">
        <v>3.5</v>
      </c>
      <c r="M503" s="4">
        <v>2847</v>
      </c>
      <c r="N503" s="1">
        <v>5177</v>
      </c>
      <c r="O503" s="1">
        <v>11086</v>
      </c>
      <c r="P503" s="1">
        <v>5909</v>
      </c>
      <c r="Q503" s="1" t="s">
        <v>42</v>
      </c>
      <c r="S503" s="1" t="s">
        <v>42</v>
      </c>
      <c r="T503" s="1" t="s">
        <v>153</v>
      </c>
      <c r="U503" s="1">
        <v>179</v>
      </c>
      <c r="V503" s="5">
        <v>42745</v>
      </c>
      <c r="W503" s="5">
        <v>42565</v>
      </c>
      <c r="X503" s="1">
        <v>9995000</v>
      </c>
      <c r="Y503" s="1">
        <v>8900000</v>
      </c>
      <c r="AA503" s="1">
        <v>8758750</v>
      </c>
      <c r="AB503" s="1" t="s">
        <v>356</v>
      </c>
      <c r="AC503" s="5">
        <v>42842</v>
      </c>
      <c r="AF503" s="1">
        <v>10011</v>
      </c>
      <c r="AI503" s="1" t="s">
        <v>45</v>
      </c>
      <c r="AJ503" s="1">
        <v>2016</v>
      </c>
      <c r="AK503" s="1" t="s">
        <v>49</v>
      </c>
      <c r="AL503" s="1">
        <v>57</v>
      </c>
    </row>
    <row r="504" spans="1:38" x14ac:dyDescent="0.2">
      <c r="A504" s="2" t="str">
        <f>HYPERLINK("https://www.compass.com/listing/160-west-12th-street-unit-24-manhattan-ny-10011/29367247394958177/","160 W 12th St, Unit 24")</f>
        <v>160 W 12th St, Unit 24</v>
      </c>
      <c r="B504" s="2" t="str">
        <f t="shared" si="76"/>
        <v>The Greenwich Lane</v>
      </c>
      <c r="C504" s="1" t="s">
        <v>40</v>
      </c>
      <c r="D504" s="1" t="s">
        <v>41</v>
      </c>
      <c r="E504" s="3">
        <v>3828000</v>
      </c>
      <c r="F504" s="1">
        <v>2493.8110749185598</v>
      </c>
      <c r="G504" s="1">
        <v>4</v>
      </c>
      <c r="H504" s="1">
        <v>2</v>
      </c>
      <c r="I504" s="1">
        <v>2</v>
      </c>
      <c r="J504" s="1">
        <v>2</v>
      </c>
      <c r="K504" s="1">
        <v>2</v>
      </c>
      <c r="M504" s="4">
        <v>1535</v>
      </c>
      <c r="N504" s="1">
        <v>2609</v>
      </c>
      <c r="O504" s="1">
        <v>5167</v>
      </c>
      <c r="P504" s="1">
        <v>2558</v>
      </c>
      <c r="Q504" s="1" t="s">
        <v>42</v>
      </c>
      <c r="S504" s="1" t="s">
        <v>42</v>
      </c>
      <c r="T504" s="1" t="s">
        <v>153</v>
      </c>
      <c r="V504" s="5">
        <v>43665</v>
      </c>
      <c r="W504" s="5">
        <v>41921</v>
      </c>
      <c r="X504" s="1">
        <v>3750000</v>
      </c>
      <c r="Y504" s="1">
        <v>3750000</v>
      </c>
      <c r="Z504" s="5">
        <v>41921</v>
      </c>
      <c r="AA504" s="1">
        <v>3828000</v>
      </c>
      <c r="AB504" s="1" t="s">
        <v>407</v>
      </c>
      <c r="AC504" s="5">
        <v>42426</v>
      </c>
      <c r="AF504" s="1">
        <v>10011</v>
      </c>
      <c r="AI504" s="1" t="s">
        <v>45</v>
      </c>
      <c r="AJ504" s="1">
        <v>2016</v>
      </c>
      <c r="AK504" s="1" t="s">
        <v>46</v>
      </c>
      <c r="AL504" s="1">
        <v>57</v>
      </c>
    </row>
    <row r="505" spans="1:38" x14ac:dyDescent="0.2">
      <c r="A505" s="2" t="str">
        <f>HYPERLINK("https://www.compass.com/listing/160-west-12th-street-unit-46-manhattan-ny-10011/29367253359258561/","160 W 12th St, Unit 46")</f>
        <v>160 W 12th St, Unit 46</v>
      </c>
      <c r="B505" s="2" t="str">
        <f t="shared" si="76"/>
        <v>The Greenwich Lane</v>
      </c>
      <c r="C505" s="1" t="s">
        <v>40</v>
      </c>
      <c r="D505" s="1" t="s">
        <v>41</v>
      </c>
      <c r="E505" s="3">
        <v>4062214</v>
      </c>
      <c r="F505" s="1">
        <v>2566.1490840176798</v>
      </c>
      <c r="G505" s="1">
        <v>4</v>
      </c>
      <c r="H505" s="1">
        <v>2</v>
      </c>
      <c r="I505" s="1">
        <v>2</v>
      </c>
      <c r="J505" s="1">
        <v>2</v>
      </c>
      <c r="K505" s="1">
        <v>2</v>
      </c>
      <c r="M505" s="4">
        <v>1583</v>
      </c>
      <c r="N505" s="1">
        <v>2723</v>
      </c>
      <c r="O505" s="1">
        <v>5392</v>
      </c>
      <c r="P505" s="1">
        <v>2669</v>
      </c>
      <c r="Q505" s="1" t="s">
        <v>42</v>
      </c>
      <c r="S505" s="1" t="s">
        <v>42</v>
      </c>
      <c r="T505" s="1" t="s">
        <v>153</v>
      </c>
      <c r="V505" s="5">
        <v>43642</v>
      </c>
      <c r="W505" s="5">
        <v>41623</v>
      </c>
      <c r="X505" s="1">
        <v>4260000</v>
      </c>
      <c r="Y505" s="1">
        <v>4260000</v>
      </c>
      <c r="Z505" s="5">
        <v>41623</v>
      </c>
      <c r="AA505" s="1">
        <v>4062214</v>
      </c>
      <c r="AB505" s="1" t="s">
        <v>408</v>
      </c>
      <c r="AC505" s="5">
        <v>42437</v>
      </c>
      <c r="AF505" s="1">
        <v>10011</v>
      </c>
      <c r="AI505" s="1" t="s">
        <v>45</v>
      </c>
      <c r="AJ505" s="1">
        <v>2016</v>
      </c>
      <c r="AK505" s="1" t="s">
        <v>46</v>
      </c>
      <c r="AL505" s="1">
        <v>57</v>
      </c>
    </row>
    <row r="506" spans="1:38" x14ac:dyDescent="0.2">
      <c r="A506" s="2" t="str">
        <f>HYPERLINK("https://www.compass.com/listing/160-west-12th-street-unit-67-manhattan-ny-10011/29367259365460241/","160 W 12th St, Unit 67")</f>
        <v>160 W 12th St, Unit 67</v>
      </c>
      <c r="B506" s="2" t="str">
        <f t="shared" si="76"/>
        <v>The Greenwich Lane</v>
      </c>
      <c r="C506" s="1" t="s">
        <v>40</v>
      </c>
      <c r="D506" s="1" t="s">
        <v>41</v>
      </c>
      <c r="E506" s="3">
        <v>4654307</v>
      </c>
      <c r="F506" s="1">
        <v>2667.22464183381</v>
      </c>
      <c r="G506" s="1">
        <v>4</v>
      </c>
      <c r="H506" s="1">
        <v>2</v>
      </c>
      <c r="I506" s="1">
        <v>2</v>
      </c>
      <c r="J506" s="1">
        <v>2</v>
      </c>
      <c r="K506" s="1">
        <v>2</v>
      </c>
      <c r="M506" s="4">
        <v>1745</v>
      </c>
      <c r="N506" s="1">
        <v>3025</v>
      </c>
      <c r="O506" s="1">
        <v>5990</v>
      </c>
      <c r="P506" s="1">
        <v>2965</v>
      </c>
      <c r="Q506" s="1" t="s">
        <v>42</v>
      </c>
      <c r="S506" s="1" t="s">
        <v>42</v>
      </c>
      <c r="T506" s="1" t="s">
        <v>153</v>
      </c>
      <c r="U506" s="1">
        <v>36</v>
      </c>
      <c r="V506" s="5">
        <v>43665</v>
      </c>
      <c r="W506" s="5">
        <v>41587</v>
      </c>
      <c r="X506" s="1">
        <v>4560000</v>
      </c>
      <c r="Y506" s="1">
        <v>4560000</v>
      </c>
      <c r="Z506" s="5">
        <v>41623</v>
      </c>
      <c r="AA506" s="1">
        <v>4654307</v>
      </c>
      <c r="AB506" s="1" t="s">
        <v>409</v>
      </c>
      <c r="AC506" s="5">
        <v>42468</v>
      </c>
      <c r="AF506" s="1">
        <v>10011</v>
      </c>
      <c r="AI506" s="1" t="s">
        <v>45</v>
      </c>
      <c r="AJ506" s="1">
        <v>2016</v>
      </c>
      <c r="AK506" s="1" t="s">
        <v>46</v>
      </c>
      <c r="AL506" s="1">
        <v>57</v>
      </c>
    </row>
    <row r="507" spans="1:38" x14ac:dyDescent="0.2">
      <c r="A507" s="2" t="str">
        <f>HYPERLINK("https://www.compass.com/listing/160-west-12th-street-unit-65-manhattan-ny-10011/29367258887354465/","160 W 12th St, Unit 65")</f>
        <v>160 W 12th St, Unit 65</v>
      </c>
      <c r="B507" s="2" t="str">
        <f t="shared" si="76"/>
        <v>The Greenwich Lane</v>
      </c>
      <c r="C507" s="1" t="s">
        <v>40</v>
      </c>
      <c r="D507" s="1" t="s">
        <v>41</v>
      </c>
      <c r="E507" s="3">
        <v>2347650</v>
      </c>
      <c r="F507" s="1">
        <v>2631.8946188340801</v>
      </c>
      <c r="G507" s="1">
        <v>2</v>
      </c>
      <c r="H507" s="1">
        <v>1</v>
      </c>
      <c r="I507" s="1">
        <v>1</v>
      </c>
      <c r="J507" s="1">
        <v>1</v>
      </c>
      <c r="K507" s="1">
        <v>1</v>
      </c>
      <c r="M507" s="1">
        <v>892</v>
      </c>
      <c r="N507" s="1">
        <v>1548</v>
      </c>
      <c r="O507" s="1">
        <v>3066</v>
      </c>
      <c r="P507" s="1">
        <v>1518</v>
      </c>
      <c r="Q507" s="1" t="s">
        <v>42</v>
      </c>
      <c r="S507" s="1" t="s">
        <v>42</v>
      </c>
      <c r="T507" s="1" t="s">
        <v>153</v>
      </c>
      <c r="U507" s="1">
        <v>35</v>
      </c>
      <c r="V507" s="5">
        <v>43631</v>
      </c>
      <c r="W507" s="5">
        <v>41587</v>
      </c>
      <c r="X507" s="1">
        <v>2300000</v>
      </c>
      <c r="Y507" s="1">
        <v>2300000</v>
      </c>
      <c r="Z507" s="5">
        <v>41622</v>
      </c>
      <c r="AA507" s="1">
        <v>2347650</v>
      </c>
      <c r="AB507" s="1" t="s">
        <v>410</v>
      </c>
      <c r="AC507" s="5">
        <v>42465</v>
      </c>
      <c r="AF507" s="1">
        <v>10011</v>
      </c>
      <c r="AI507" s="1" t="s">
        <v>45</v>
      </c>
      <c r="AJ507" s="1">
        <v>2016</v>
      </c>
      <c r="AK507" s="1" t="s">
        <v>46</v>
      </c>
      <c r="AL507" s="1">
        <v>57</v>
      </c>
    </row>
    <row r="508" spans="1:38" x14ac:dyDescent="0.2">
      <c r="A508" s="2" t="str">
        <f>HYPERLINK("https://www.compass.com/listing/160-west-12th-street-unit-22-manhattan-ny-10011/29367246581266353/","160 W 12th St, Unit 22")</f>
        <v>160 W 12th St, Unit 22</v>
      </c>
      <c r="B508" s="2" t="str">
        <f t="shared" si="76"/>
        <v>The Greenwich Lane</v>
      </c>
      <c r="C508" s="1" t="s">
        <v>40</v>
      </c>
      <c r="D508" s="1" t="s">
        <v>41</v>
      </c>
      <c r="E508" s="3">
        <v>2307151</v>
      </c>
      <c r="F508" s="1">
        <v>2433.7035864978898</v>
      </c>
      <c r="G508" s="1">
        <v>3</v>
      </c>
      <c r="H508" s="1">
        <v>1</v>
      </c>
      <c r="I508" s="1">
        <v>1</v>
      </c>
      <c r="J508" s="1">
        <v>1</v>
      </c>
      <c r="K508" s="1">
        <v>1</v>
      </c>
      <c r="M508" s="1">
        <v>948</v>
      </c>
      <c r="N508" s="1">
        <v>1612</v>
      </c>
      <c r="O508" s="1">
        <v>3192</v>
      </c>
      <c r="P508" s="1">
        <v>1580</v>
      </c>
      <c r="Q508" s="1" t="s">
        <v>42</v>
      </c>
      <c r="S508" s="1" t="s">
        <v>42</v>
      </c>
      <c r="T508" s="1" t="s">
        <v>153</v>
      </c>
      <c r="V508" s="5">
        <v>43678</v>
      </c>
      <c r="W508" s="5">
        <v>41693</v>
      </c>
      <c r="X508" s="1">
        <v>2295000</v>
      </c>
      <c r="Y508" s="1">
        <v>2295000</v>
      </c>
      <c r="Z508" s="5">
        <v>41693</v>
      </c>
      <c r="AA508" s="1">
        <v>2307151</v>
      </c>
      <c r="AB508" s="1" t="s">
        <v>411</v>
      </c>
      <c r="AC508" s="5">
        <v>42432</v>
      </c>
      <c r="AF508" s="1">
        <v>10011</v>
      </c>
      <c r="AI508" s="1" t="s">
        <v>45</v>
      </c>
      <c r="AJ508" s="1">
        <v>2016</v>
      </c>
      <c r="AK508" s="1" t="s">
        <v>46</v>
      </c>
      <c r="AL508" s="1">
        <v>57</v>
      </c>
    </row>
    <row r="509" spans="1:38" x14ac:dyDescent="0.2">
      <c r="A509" s="2" t="str">
        <f>HYPERLINK("https://www.compass.com/listing/160-west-12th-street-unit-45-manhattan-ny-10011/29367252889454753/","160 W 12th St, Unit 45")</f>
        <v>160 W 12th St, Unit 45</v>
      </c>
      <c r="B509" s="2" t="str">
        <f t="shared" si="76"/>
        <v>The Greenwich Lane</v>
      </c>
      <c r="C509" s="1" t="s">
        <v>40</v>
      </c>
      <c r="D509" s="1" t="s">
        <v>41</v>
      </c>
      <c r="E509" s="3">
        <v>2215223</v>
      </c>
      <c r="F509" s="1">
        <v>2483.4338565022399</v>
      </c>
      <c r="G509" s="1">
        <v>3</v>
      </c>
      <c r="H509" s="1">
        <v>1</v>
      </c>
      <c r="I509" s="1">
        <v>1</v>
      </c>
      <c r="J509" s="1">
        <v>1</v>
      </c>
      <c r="K509" s="1">
        <v>1</v>
      </c>
      <c r="M509" s="1">
        <v>892</v>
      </c>
      <c r="N509" s="1">
        <v>1533</v>
      </c>
      <c r="O509" s="1">
        <v>3036</v>
      </c>
      <c r="P509" s="1">
        <v>1503</v>
      </c>
      <c r="Q509" s="1" t="s">
        <v>42</v>
      </c>
      <c r="S509" s="1" t="s">
        <v>42</v>
      </c>
      <c r="T509" s="1" t="s">
        <v>153</v>
      </c>
      <c r="U509" s="1">
        <v>114</v>
      </c>
      <c r="V509" s="5">
        <v>43631</v>
      </c>
      <c r="W509" s="5">
        <v>41662</v>
      </c>
      <c r="X509" s="1">
        <v>2170000</v>
      </c>
      <c r="Y509" s="1">
        <v>2245000</v>
      </c>
      <c r="Z509" s="5">
        <v>41776</v>
      </c>
      <c r="AA509" s="1">
        <v>2215223</v>
      </c>
      <c r="AB509" s="1" t="s">
        <v>412</v>
      </c>
      <c r="AC509" s="5">
        <v>42433</v>
      </c>
      <c r="AF509" s="1">
        <v>10011</v>
      </c>
      <c r="AI509" s="1" t="s">
        <v>45</v>
      </c>
      <c r="AJ509" s="1">
        <v>2016</v>
      </c>
      <c r="AK509" s="1" t="s">
        <v>46</v>
      </c>
      <c r="AL509" s="1">
        <v>57</v>
      </c>
    </row>
    <row r="510" spans="1:38" x14ac:dyDescent="0.2">
      <c r="A510" s="2" t="str">
        <f>HYPERLINK("https://www.compass.com/listing/160-west-12th-street-unit-52-manhattan-ny-10011/29367254676270049/","160 W 12th St, Unit 52")</f>
        <v>160 W 12th St, Unit 52</v>
      </c>
      <c r="B510" s="2" t="str">
        <f t="shared" si="76"/>
        <v>The Greenwich Lane</v>
      </c>
      <c r="C510" s="1" t="s">
        <v>40</v>
      </c>
      <c r="D510" s="1" t="s">
        <v>41</v>
      </c>
      <c r="E510" s="3">
        <v>2424312</v>
      </c>
      <c r="F510" s="1">
        <v>2570.8504772004198</v>
      </c>
      <c r="G510" s="1">
        <v>3</v>
      </c>
      <c r="H510" s="1">
        <v>1</v>
      </c>
      <c r="I510" s="1">
        <v>1</v>
      </c>
      <c r="J510" s="1">
        <v>1</v>
      </c>
      <c r="K510" s="1">
        <v>1</v>
      </c>
      <c r="M510" s="1">
        <v>943</v>
      </c>
      <c r="N510" s="1">
        <v>1629</v>
      </c>
      <c r="O510" s="1">
        <v>3225</v>
      </c>
      <c r="P510" s="1">
        <v>1596</v>
      </c>
      <c r="Q510" s="1" t="s">
        <v>42</v>
      </c>
      <c r="S510" s="1" t="s">
        <v>42</v>
      </c>
      <c r="T510" s="1" t="s">
        <v>153</v>
      </c>
      <c r="V510" s="5">
        <v>43631</v>
      </c>
      <c r="W510" s="5">
        <v>41662</v>
      </c>
      <c r="X510" s="1">
        <v>2375000</v>
      </c>
      <c r="Y510" s="1">
        <v>2375000</v>
      </c>
      <c r="Z510" s="5">
        <v>41662</v>
      </c>
      <c r="AA510" s="1">
        <v>2424312</v>
      </c>
      <c r="AB510" s="1" t="s">
        <v>413</v>
      </c>
      <c r="AC510" s="5">
        <v>42460</v>
      </c>
      <c r="AF510" s="1">
        <v>10011</v>
      </c>
      <c r="AI510" s="1" t="s">
        <v>45</v>
      </c>
      <c r="AJ510" s="1">
        <v>2016</v>
      </c>
      <c r="AK510" s="1" t="s">
        <v>46</v>
      </c>
      <c r="AL510" s="1">
        <v>57</v>
      </c>
    </row>
    <row r="511" spans="1:38" x14ac:dyDescent="0.2">
      <c r="A511" s="2" t="str">
        <f>HYPERLINK("https://www.compass.com/listing/160-east-22nd-street-unit-3c-manhattan-ny-10010/803334820335433409/","160 E 22nd St, Unit 3C")</f>
        <v>160 E 22nd St, Unit 3C</v>
      </c>
      <c r="B511" s="2" t="str">
        <f t="shared" ref="B511:B512" si="77">HYPERLINK("https://www.compass.com/building/160-e-22nd-st-manhattan-ny-10010/292796862321154661/","160 E 22nd St")</f>
        <v>160 E 22nd St</v>
      </c>
      <c r="C511" s="1" t="s">
        <v>54</v>
      </c>
      <c r="D511" s="1" t="s">
        <v>41</v>
      </c>
      <c r="E511" s="3">
        <v>2650000</v>
      </c>
      <c r="F511" s="1">
        <v>2336.8606701939998</v>
      </c>
      <c r="G511" s="1">
        <v>4</v>
      </c>
      <c r="H511" s="1">
        <v>2</v>
      </c>
      <c r="I511" s="1">
        <v>2</v>
      </c>
      <c r="J511" s="1">
        <v>2</v>
      </c>
      <c r="M511" s="4">
        <v>1134</v>
      </c>
      <c r="N511" s="1">
        <v>1075</v>
      </c>
      <c r="O511" s="1">
        <v>1475</v>
      </c>
      <c r="P511" s="1">
        <v>400</v>
      </c>
      <c r="Q511" s="1" t="s">
        <v>42</v>
      </c>
      <c r="S511" s="1" t="s">
        <v>42</v>
      </c>
      <c r="T511" s="1" t="s">
        <v>153</v>
      </c>
      <c r="U511" s="1">
        <v>82</v>
      </c>
      <c r="V511" s="5">
        <v>42423</v>
      </c>
      <c r="W511" s="5">
        <v>42265</v>
      </c>
      <c r="X511" s="1">
        <v>2750000</v>
      </c>
      <c r="Y511" s="1">
        <v>2750000</v>
      </c>
      <c r="Z511" s="5">
        <v>42348</v>
      </c>
      <c r="AA511" s="1">
        <v>2650000</v>
      </c>
      <c r="AB511" s="1" t="s">
        <v>405</v>
      </c>
      <c r="AC511" s="5">
        <v>42417</v>
      </c>
      <c r="AF511" s="1">
        <v>10010</v>
      </c>
      <c r="AI511" s="1" t="s">
        <v>87</v>
      </c>
      <c r="AJ511" s="1">
        <v>2012</v>
      </c>
      <c r="AK511" s="1" t="s">
        <v>49</v>
      </c>
      <c r="AL511" s="1">
        <v>81</v>
      </c>
    </row>
    <row r="512" spans="1:38" x14ac:dyDescent="0.2">
      <c r="A512" s="2" t="str">
        <f>HYPERLINK("https://www.compass.com/listing/160-east-22nd-street-unit-5c-manhattan-ny-10010/29378177373603217/","160 E 22nd St, Unit 5C")</f>
        <v>160 E 22nd St, Unit 5C</v>
      </c>
      <c r="B512" s="2" t="str">
        <f t="shared" si="77"/>
        <v>160 E 22nd St</v>
      </c>
      <c r="C512" s="1" t="s">
        <v>54</v>
      </c>
      <c r="D512" s="1" t="s">
        <v>41</v>
      </c>
      <c r="E512" s="3">
        <v>2385000</v>
      </c>
      <c r="F512" s="1">
        <v>2017.7664974619199</v>
      </c>
      <c r="G512" s="1">
        <v>4</v>
      </c>
      <c r="H512" s="1">
        <v>2</v>
      </c>
      <c r="I512" s="1">
        <v>2</v>
      </c>
      <c r="J512" s="1">
        <v>2</v>
      </c>
      <c r="K512" s="1">
        <v>2</v>
      </c>
      <c r="M512" s="4">
        <v>1182</v>
      </c>
      <c r="N512" s="1">
        <v>1285</v>
      </c>
      <c r="O512" s="1">
        <v>2514</v>
      </c>
      <c r="P512" s="1">
        <v>1229</v>
      </c>
      <c r="Q512" s="1" t="s">
        <v>42</v>
      </c>
      <c r="S512" s="1" t="s">
        <v>42</v>
      </c>
      <c r="T512" s="1" t="s">
        <v>153</v>
      </c>
      <c r="U512" s="1">
        <v>198</v>
      </c>
      <c r="V512" s="5">
        <v>44009</v>
      </c>
      <c r="W512" s="5">
        <v>42949</v>
      </c>
      <c r="X512" s="1">
        <v>3050000</v>
      </c>
      <c r="Y512" s="1">
        <v>2450000</v>
      </c>
      <c r="Z512" s="5">
        <v>43147</v>
      </c>
      <c r="AA512" s="1">
        <v>2385000</v>
      </c>
      <c r="AB512" s="1" t="s">
        <v>414</v>
      </c>
      <c r="AC512" s="5">
        <v>43185</v>
      </c>
      <c r="AF512" s="1">
        <v>10010</v>
      </c>
      <c r="AI512" s="1" t="s">
        <v>55</v>
      </c>
      <c r="AJ512" s="1">
        <v>2012</v>
      </c>
      <c r="AK512" s="1" t="s">
        <v>46</v>
      </c>
      <c r="AL512" s="1">
        <v>81</v>
      </c>
    </row>
    <row r="513" spans="1:38" x14ac:dyDescent="0.2">
      <c r="A513" s="2" t="str">
        <f>HYPERLINK("https://www.compass.com/listing/160-west-12th-street-unit-45-manhattan-ny-10011/602408801005698713/","160 W 12th St, Unit 45")</f>
        <v>160 W 12th St, Unit 45</v>
      </c>
      <c r="B513" s="2" t="str">
        <f t="shared" ref="B513:B524" si="78">HYPERLINK("https://www.compass.com/building/the-greenwich-lane-manhattan-ny/282059161326355877/","The Greenwich Lane")</f>
        <v>The Greenwich Lane</v>
      </c>
      <c r="C513" s="1" t="s">
        <v>40</v>
      </c>
      <c r="D513" s="1" t="s">
        <v>41</v>
      </c>
      <c r="E513" s="3">
        <v>2200000</v>
      </c>
      <c r="F513" s="1">
        <v>2466.3677130044798</v>
      </c>
      <c r="G513" s="1">
        <v>3</v>
      </c>
      <c r="H513" s="1">
        <v>1</v>
      </c>
      <c r="I513" s="1">
        <v>1</v>
      </c>
      <c r="J513" s="1">
        <v>1</v>
      </c>
      <c r="K513" s="1">
        <v>1</v>
      </c>
      <c r="M513" s="1">
        <v>892</v>
      </c>
      <c r="N513" s="1">
        <v>1563.89</v>
      </c>
      <c r="O513" s="1">
        <v>3512.1</v>
      </c>
      <c r="P513" s="1">
        <v>1948.25</v>
      </c>
      <c r="Q513" s="1" t="s">
        <v>42</v>
      </c>
      <c r="S513" s="1" t="s">
        <v>42</v>
      </c>
      <c r="T513" s="1" t="s">
        <v>153</v>
      </c>
      <c r="U513" s="1">
        <v>85</v>
      </c>
      <c r="V513" s="5">
        <v>44361</v>
      </c>
      <c r="W513" s="5">
        <v>44235</v>
      </c>
      <c r="X513" s="1">
        <v>2350000</v>
      </c>
      <c r="Y513" s="1">
        <v>2350000</v>
      </c>
      <c r="Z513" s="5">
        <v>44321</v>
      </c>
      <c r="AA513" s="1">
        <v>2200000</v>
      </c>
      <c r="AB513" s="1" t="s">
        <v>415</v>
      </c>
      <c r="AC513" s="5">
        <v>44357</v>
      </c>
      <c r="AF513" s="1">
        <v>10011</v>
      </c>
      <c r="AI513" s="1" t="s">
        <v>45</v>
      </c>
      <c r="AJ513" s="1">
        <v>2016</v>
      </c>
      <c r="AK513" s="1" t="s">
        <v>46</v>
      </c>
      <c r="AL513" s="1">
        <v>57</v>
      </c>
    </row>
    <row r="514" spans="1:38" x14ac:dyDescent="0.2">
      <c r="A514" s="2" t="str">
        <f>HYPERLINK("https://www.compass.com/listing/160-west-12th-street-unit-85-manhattan-ny-10011/4852260973836254705/","160 W 12th St, Unit 85")</f>
        <v>160 W 12th St, Unit 85</v>
      </c>
      <c r="B514" s="2" t="str">
        <f t="shared" si="78"/>
        <v>The Greenwich Lane</v>
      </c>
      <c r="C514" s="1" t="s">
        <v>40</v>
      </c>
      <c r="D514" s="1" t="s">
        <v>41</v>
      </c>
      <c r="E514" s="3">
        <v>3292358</v>
      </c>
      <c r="F514" s="1">
        <v>2818.7996575342399</v>
      </c>
      <c r="G514" s="1">
        <v>3</v>
      </c>
      <c r="H514" s="1">
        <v>1</v>
      </c>
      <c r="I514" s="1">
        <v>1</v>
      </c>
      <c r="J514" s="1">
        <v>1</v>
      </c>
      <c r="K514" s="1">
        <v>1</v>
      </c>
      <c r="M514" s="4">
        <v>1168</v>
      </c>
      <c r="N514" s="1">
        <v>2045</v>
      </c>
      <c r="O514" s="1">
        <v>4398</v>
      </c>
      <c r="P514" s="1">
        <v>2353</v>
      </c>
      <c r="Q514" s="1" t="s">
        <v>42</v>
      </c>
      <c r="S514" s="1" t="s">
        <v>42</v>
      </c>
      <c r="T514" s="1" t="s">
        <v>153</v>
      </c>
      <c r="U514" s="1">
        <v>943</v>
      </c>
      <c r="V514" s="5">
        <v>43665</v>
      </c>
      <c r="W514" s="5">
        <v>41587</v>
      </c>
      <c r="X514" s="1">
        <v>3450000</v>
      </c>
      <c r="Y514" s="1">
        <v>3450000</v>
      </c>
      <c r="Z514" s="5">
        <v>42530</v>
      </c>
      <c r="AA514" s="1">
        <v>3292358</v>
      </c>
      <c r="AB514" s="1" t="s">
        <v>416</v>
      </c>
      <c r="AC514" s="5">
        <v>42592</v>
      </c>
      <c r="AF514" s="1">
        <v>10011</v>
      </c>
      <c r="AI514" s="1" t="s">
        <v>45</v>
      </c>
      <c r="AJ514" s="1">
        <v>2016</v>
      </c>
      <c r="AK514" s="1" t="s">
        <v>46</v>
      </c>
      <c r="AL514" s="1">
        <v>57</v>
      </c>
    </row>
    <row r="515" spans="1:38" x14ac:dyDescent="0.2">
      <c r="A515" s="2" t="str">
        <f>HYPERLINK("https://www.compass.com/listing/160-west-12th-street-unit-48-manhattan-ny-10011/29367253879355409/","160 W 12th St, Unit 48")</f>
        <v>160 W 12th St, Unit 48</v>
      </c>
      <c r="B515" s="2" t="str">
        <f t="shared" si="78"/>
        <v>The Greenwich Lane</v>
      </c>
      <c r="C515" s="1" t="s">
        <v>40</v>
      </c>
      <c r="D515" s="1" t="s">
        <v>41</v>
      </c>
      <c r="E515" s="3">
        <v>6888602</v>
      </c>
      <c r="F515" s="1">
        <v>2811.6742857142799</v>
      </c>
      <c r="G515" s="1">
        <v>4</v>
      </c>
      <c r="H515" s="1">
        <v>3</v>
      </c>
      <c r="I515" s="1">
        <v>3</v>
      </c>
      <c r="J515" s="1">
        <v>3</v>
      </c>
      <c r="K515" s="1">
        <v>3</v>
      </c>
      <c r="M515" s="4">
        <v>2450</v>
      </c>
      <c r="N515" s="1">
        <v>4206</v>
      </c>
      <c r="O515" s="1">
        <v>8329</v>
      </c>
      <c r="P515" s="1">
        <v>4123</v>
      </c>
      <c r="Q515" s="1" t="s">
        <v>42</v>
      </c>
      <c r="S515" s="1" t="s">
        <v>42</v>
      </c>
      <c r="T515" s="1" t="s">
        <v>153</v>
      </c>
      <c r="U515" s="1">
        <v>175</v>
      </c>
      <c r="V515" s="5">
        <v>43631</v>
      </c>
      <c r="W515" s="5">
        <v>41928</v>
      </c>
      <c r="X515" s="1">
        <v>6750000</v>
      </c>
      <c r="Y515" s="1">
        <v>6750000</v>
      </c>
      <c r="Z515" s="5">
        <v>42103</v>
      </c>
      <c r="AA515" s="1">
        <v>6888602</v>
      </c>
      <c r="AB515" s="1" t="s">
        <v>417</v>
      </c>
      <c r="AC515" s="5">
        <v>42476</v>
      </c>
      <c r="AF515" s="1">
        <v>10011</v>
      </c>
      <c r="AI515" s="1" t="s">
        <v>45</v>
      </c>
      <c r="AJ515" s="1">
        <v>2016</v>
      </c>
      <c r="AK515" s="1" t="s">
        <v>46</v>
      </c>
      <c r="AL515" s="1">
        <v>57</v>
      </c>
    </row>
    <row r="516" spans="1:38" x14ac:dyDescent="0.2">
      <c r="A516" s="2" t="str">
        <f>HYPERLINK("https://www.compass.com/listing/160-west-12th-street-unit-58-manhattan-ny-10011/29367256983095537/","160 W 12th St, Unit 58")</f>
        <v>160 W 12th St, Unit 58</v>
      </c>
      <c r="B516" s="2" t="str">
        <f t="shared" si="78"/>
        <v>The Greenwich Lane</v>
      </c>
      <c r="C516" s="1" t="s">
        <v>40</v>
      </c>
      <c r="D516" s="1" t="s">
        <v>41</v>
      </c>
      <c r="E516" s="3">
        <v>7041416</v>
      </c>
      <c r="F516" s="1">
        <v>2874.0473469387698</v>
      </c>
      <c r="G516" s="1">
        <v>5</v>
      </c>
      <c r="H516" s="1">
        <v>3</v>
      </c>
      <c r="I516" s="1">
        <v>3</v>
      </c>
      <c r="J516" s="1">
        <v>3</v>
      </c>
      <c r="K516" s="1">
        <v>3</v>
      </c>
      <c r="M516" s="4">
        <v>2450</v>
      </c>
      <c r="N516" s="1">
        <v>4227</v>
      </c>
      <c r="O516" s="1">
        <v>8370</v>
      </c>
      <c r="P516" s="1">
        <v>4143</v>
      </c>
      <c r="Q516" s="1" t="s">
        <v>42</v>
      </c>
      <c r="S516" s="1" t="s">
        <v>42</v>
      </c>
      <c r="T516" s="1" t="s">
        <v>153</v>
      </c>
      <c r="U516" s="1">
        <v>255</v>
      </c>
      <c r="V516" s="5">
        <v>43631</v>
      </c>
      <c r="W516" s="5">
        <v>41673</v>
      </c>
      <c r="X516" s="1">
        <v>6900000</v>
      </c>
      <c r="Y516" s="1">
        <v>6900000</v>
      </c>
      <c r="Z516" s="5">
        <v>41928</v>
      </c>
      <c r="AA516" s="1">
        <v>7041416</v>
      </c>
      <c r="AB516" s="1" t="s">
        <v>418</v>
      </c>
      <c r="AC516" s="5">
        <v>42536</v>
      </c>
      <c r="AF516" s="1">
        <v>10011</v>
      </c>
      <c r="AI516" s="1" t="s">
        <v>45</v>
      </c>
      <c r="AJ516" s="1">
        <v>2016</v>
      </c>
      <c r="AK516" s="1" t="s">
        <v>46</v>
      </c>
      <c r="AL516" s="1">
        <v>57</v>
      </c>
    </row>
    <row r="517" spans="1:38" x14ac:dyDescent="0.2">
      <c r="A517" s="2" t="str">
        <f>HYPERLINK("https://www.compass.com/listing/160-west-12th-street-unit-76-manhattan-ny-10011/29367261437488225/","160 W 12th St, Unit 76")</f>
        <v>160 W 12th St, Unit 76</v>
      </c>
      <c r="B517" s="2" t="str">
        <f t="shared" si="78"/>
        <v>The Greenwich Lane</v>
      </c>
      <c r="C517" s="1" t="s">
        <v>40</v>
      </c>
      <c r="D517" s="1" t="s">
        <v>41</v>
      </c>
      <c r="E517" s="3">
        <v>7368217</v>
      </c>
      <c r="F517" s="1">
        <v>2904.3031139140699</v>
      </c>
      <c r="G517" s="1">
        <v>5</v>
      </c>
      <c r="H517" s="1">
        <v>3</v>
      </c>
      <c r="I517" s="1">
        <v>3</v>
      </c>
      <c r="J517" s="1">
        <v>3</v>
      </c>
      <c r="K517" s="1">
        <v>3</v>
      </c>
      <c r="M517" s="4">
        <v>2537</v>
      </c>
      <c r="N517" s="1">
        <v>4489</v>
      </c>
      <c r="O517" s="1">
        <v>9654</v>
      </c>
      <c r="P517" s="1">
        <v>5165</v>
      </c>
      <c r="Q517" s="1" t="s">
        <v>42</v>
      </c>
      <c r="S517" s="1" t="s">
        <v>42</v>
      </c>
      <c r="T517" s="1" t="s">
        <v>153</v>
      </c>
      <c r="U517" s="1">
        <v>1</v>
      </c>
      <c r="V517" s="5">
        <v>43631</v>
      </c>
      <c r="W517" s="5">
        <v>41885</v>
      </c>
      <c r="X517" s="1">
        <v>7500000</v>
      </c>
      <c r="Y517" s="1">
        <v>7500000</v>
      </c>
      <c r="Z517" s="5">
        <v>41886</v>
      </c>
      <c r="AA517" s="1">
        <v>7368217</v>
      </c>
      <c r="AB517" s="1" t="s">
        <v>419</v>
      </c>
      <c r="AC517" s="5">
        <v>42539</v>
      </c>
      <c r="AF517" s="1">
        <v>10011</v>
      </c>
      <c r="AI517" s="1" t="s">
        <v>233</v>
      </c>
      <c r="AJ517" s="1">
        <v>2016</v>
      </c>
      <c r="AK517" s="1" t="s">
        <v>46</v>
      </c>
      <c r="AL517" s="1">
        <v>57</v>
      </c>
    </row>
    <row r="518" spans="1:38" x14ac:dyDescent="0.2">
      <c r="A518" s="2" t="str">
        <f>HYPERLINK("https://www.compass.com/listing/160-west-12th-street-unit-84-manhattan-ny-10011/29367263215876289/","160 W 12th St, Unit 84")</f>
        <v>160 W 12th St, Unit 84</v>
      </c>
      <c r="B518" s="2" t="str">
        <f t="shared" si="78"/>
        <v>The Greenwich Lane</v>
      </c>
      <c r="C518" s="1" t="s">
        <v>40</v>
      </c>
      <c r="D518" s="1" t="s">
        <v>41</v>
      </c>
      <c r="E518" s="3">
        <v>9275038</v>
      </c>
      <c r="F518" s="1">
        <v>3148.34958248472</v>
      </c>
      <c r="G518" s="1">
        <v>6</v>
      </c>
      <c r="H518" s="1">
        <v>3</v>
      </c>
      <c r="I518" s="1">
        <v>3</v>
      </c>
      <c r="J518" s="1">
        <v>3</v>
      </c>
      <c r="K518" s="1">
        <v>3</v>
      </c>
      <c r="M518" s="4">
        <v>2946</v>
      </c>
      <c r="N518" s="1">
        <v>5226</v>
      </c>
      <c r="O518" s="1">
        <v>10348</v>
      </c>
      <c r="P518" s="1">
        <v>5122</v>
      </c>
      <c r="Q518" s="1" t="s">
        <v>42</v>
      </c>
      <c r="S518" s="1" t="s">
        <v>42</v>
      </c>
      <c r="T518" s="1" t="s">
        <v>153</v>
      </c>
      <c r="U518" s="1">
        <v>39</v>
      </c>
      <c r="V518" s="5">
        <v>42529</v>
      </c>
      <c r="W518" s="5">
        <v>41585</v>
      </c>
      <c r="X518" s="1">
        <v>9090000</v>
      </c>
      <c r="Y518" s="1">
        <v>9090000</v>
      </c>
      <c r="Z518" s="5">
        <v>41625</v>
      </c>
      <c r="AA518" s="1">
        <v>9275037.8699999992</v>
      </c>
      <c r="AB518" s="1" t="s">
        <v>420</v>
      </c>
      <c r="AC518" s="5">
        <v>42513</v>
      </c>
      <c r="AF518" s="1">
        <v>10011</v>
      </c>
      <c r="AI518" s="1" t="s">
        <v>364</v>
      </c>
      <c r="AJ518" s="1">
        <v>2016</v>
      </c>
      <c r="AK518" s="1" t="s">
        <v>46</v>
      </c>
      <c r="AL518" s="1">
        <v>57</v>
      </c>
    </row>
    <row r="519" spans="1:38" x14ac:dyDescent="0.2">
      <c r="A519" s="2" t="str">
        <f>HYPERLINK("https://www.compass.com/listing/160-west-12th-street-unit-86-manhattan-ny-10011/29367264138620065/","160 W 12th St, Unit 86")</f>
        <v>160 W 12th St, Unit 86</v>
      </c>
      <c r="B519" s="2" t="str">
        <f t="shared" si="78"/>
        <v>The Greenwich Lane</v>
      </c>
      <c r="C519" s="1" t="s">
        <v>40</v>
      </c>
      <c r="D519" s="1" t="s">
        <v>41</v>
      </c>
      <c r="E519" s="3">
        <v>7500426</v>
      </c>
      <c r="F519" s="1">
        <v>2954.08664828672</v>
      </c>
      <c r="G519" s="1">
        <v>5</v>
      </c>
      <c r="H519" s="1">
        <v>3</v>
      </c>
      <c r="I519" s="1">
        <v>3</v>
      </c>
      <c r="J519" s="1">
        <v>3</v>
      </c>
      <c r="K519" s="1">
        <v>3</v>
      </c>
      <c r="M519" s="4">
        <v>2539</v>
      </c>
      <c r="N519" s="1">
        <v>4445</v>
      </c>
      <c r="O519" s="1">
        <v>8802</v>
      </c>
      <c r="P519" s="1">
        <v>4357</v>
      </c>
      <c r="Q519" s="1" t="s">
        <v>42</v>
      </c>
      <c r="S519" s="1" t="s">
        <v>42</v>
      </c>
      <c r="T519" s="1" t="s">
        <v>153</v>
      </c>
      <c r="U519" s="1">
        <v>452</v>
      </c>
      <c r="V519" s="5">
        <v>43636</v>
      </c>
      <c r="W519" s="5">
        <v>41587</v>
      </c>
      <c r="X519" s="1">
        <v>7350000</v>
      </c>
      <c r="Y519" s="1">
        <v>7350000</v>
      </c>
      <c r="Z519" s="5">
        <v>42039</v>
      </c>
      <c r="AA519" s="1">
        <v>7500426</v>
      </c>
      <c r="AB519" s="1" t="s">
        <v>421</v>
      </c>
      <c r="AC519" s="5">
        <v>42488</v>
      </c>
      <c r="AF519" s="1">
        <v>10011</v>
      </c>
      <c r="AI519" s="1" t="s">
        <v>45</v>
      </c>
      <c r="AJ519" s="1">
        <v>2016</v>
      </c>
      <c r="AK519" s="1" t="s">
        <v>46</v>
      </c>
      <c r="AL519" s="1">
        <v>57</v>
      </c>
    </row>
    <row r="520" spans="1:38" x14ac:dyDescent="0.2">
      <c r="A520" s="2" t="str">
        <f>HYPERLINK("https://www.compass.com/listing/160-west-12th-street-unit-108-manhattan-ny-10011/29367267468900609/","160 W 12th St, Unit 108")</f>
        <v>160 W 12th St, Unit 108</v>
      </c>
      <c r="B520" s="2" t="str">
        <f t="shared" si="78"/>
        <v>The Greenwich Lane</v>
      </c>
      <c r="C520" s="1" t="s">
        <v>40</v>
      </c>
      <c r="D520" s="1" t="s">
        <v>41</v>
      </c>
      <c r="E520" s="3">
        <v>7965617</v>
      </c>
      <c r="F520" s="1">
        <v>3244.6505091649601</v>
      </c>
      <c r="G520" s="1">
        <v>5</v>
      </c>
      <c r="H520" s="1">
        <v>3</v>
      </c>
      <c r="I520" s="1">
        <v>3</v>
      </c>
      <c r="J520" s="1">
        <v>3</v>
      </c>
      <c r="K520" s="1">
        <v>3</v>
      </c>
      <c r="M520" s="4">
        <v>2455</v>
      </c>
      <c r="N520" s="1">
        <v>4340</v>
      </c>
      <c r="O520" s="1">
        <v>9332</v>
      </c>
      <c r="P520" s="1">
        <v>4992</v>
      </c>
      <c r="Q520" s="1" t="s">
        <v>42</v>
      </c>
      <c r="S520" s="1" t="s">
        <v>42</v>
      </c>
      <c r="T520" s="1" t="s">
        <v>153</v>
      </c>
      <c r="U520" s="1">
        <v>119</v>
      </c>
      <c r="V520" s="5">
        <v>43634</v>
      </c>
      <c r="W520" s="5">
        <v>42570</v>
      </c>
      <c r="X520" s="1">
        <v>7950000</v>
      </c>
      <c r="Y520" s="1">
        <v>7950000</v>
      </c>
      <c r="Z520" s="5">
        <v>42689</v>
      </c>
      <c r="AA520" s="1">
        <v>7965617</v>
      </c>
      <c r="AB520" s="1" t="s">
        <v>422</v>
      </c>
      <c r="AC520" s="5">
        <v>42761</v>
      </c>
      <c r="AF520" s="1">
        <v>10011</v>
      </c>
      <c r="AI520" s="1" t="s">
        <v>45</v>
      </c>
      <c r="AJ520" s="1">
        <v>2016</v>
      </c>
      <c r="AK520" s="1" t="s">
        <v>46</v>
      </c>
      <c r="AL520" s="1">
        <v>57</v>
      </c>
    </row>
    <row r="521" spans="1:38" x14ac:dyDescent="0.2">
      <c r="A521" s="2" t="str">
        <f>HYPERLINK("https://www.compass.com/listing/160-west-12th-street-unit-68-manhattan-ny-10011/4852326873012636273/","160 W 12th St, Unit 68")</f>
        <v>160 W 12th St, Unit 68</v>
      </c>
      <c r="B521" s="2" t="str">
        <f t="shared" si="78"/>
        <v>The Greenwich Lane</v>
      </c>
      <c r="C521" s="1" t="s">
        <v>40</v>
      </c>
      <c r="D521" s="1" t="s">
        <v>41</v>
      </c>
      <c r="E521" s="3">
        <v>7092403</v>
      </c>
      <c r="F521" s="1">
        <v>2894.8583673469302</v>
      </c>
      <c r="G521" s="1">
        <v>5</v>
      </c>
      <c r="H521" s="1">
        <v>3</v>
      </c>
      <c r="I521" s="1">
        <v>3</v>
      </c>
      <c r="J521" s="1">
        <v>3</v>
      </c>
      <c r="K521" s="1">
        <v>3</v>
      </c>
      <c r="M521" s="4">
        <v>2450</v>
      </c>
      <c r="N521" s="1">
        <v>4249</v>
      </c>
      <c r="O521" s="1">
        <v>9136</v>
      </c>
      <c r="P521" s="1">
        <v>4887</v>
      </c>
      <c r="Q521" s="1" t="s">
        <v>42</v>
      </c>
      <c r="S521" s="1" t="s">
        <v>42</v>
      </c>
      <c r="T521" s="1" t="s">
        <v>153</v>
      </c>
      <c r="U521" s="1">
        <v>38</v>
      </c>
      <c r="V521" s="5">
        <v>43642</v>
      </c>
      <c r="W521" s="5">
        <v>41587</v>
      </c>
      <c r="X521" s="1">
        <v>7050000</v>
      </c>
      <c r="Y521" s="1">
        <v>7050000</v>
      </c>
      <c r="Z521" s="5">
        <v>41625</v>
      </c>
      <c r="AA521" s="1">
        <v>7092403</v>
      </c>
      <c r="AB521" s="1" t="s">
        <v>423</v>
      </c>
      <c r="AC521" s="5">
        <v>42574</v>
      </c>
      <c r="AF521" s="1">
        <v>10011</v>
      </c>
      <c r="AI521" s="1" t="s">
        <v>45</v>
      </c>
      <c r="AJ521" s="1">
        <v>2016</v>
      </c>
      <c r="AK521" s="1" t="s">
        <v>46</v>
      </c>
      <c r="AL521" s="1">
        <v>57</v>
      </c>
    </row>
    <row r="522" spans="1:38" x14ac:dyDescent="0.2">
      <c r="A522" s="2" t="str">
        <f>HYPERLINK("https://www.compass.com/listing/160-west-12th-street-unit-35-manhattan-ny-10011/29367250532255857/","160 W 12th St, Unit 35")</f>
        <v>160 W 12th St, Unit 35</v>
      </c>
      <c r="B522" s="2" t="str">
        <f t="shared" si="78"/>
        <v>The Greenwich Lane</v>
      </c>
      <c r="C522" s="1" t="s">
        <v>40</v>
      </c>
      <c r="D522" s="1" t="s">
        <v>41</v>
      </c>
      <c r="E522" s="3">
        <v>2240649</v>
      </c>
      <c r="F522" s="1">
        <v>2511.9385650224199</v>
      </c>
      <c r="G522" s="1">
        <v>3</v>
      </c>
      <c r="H522" s="1">
        <v>1</v>
      </c>
      <c r="I522" s="1">
        <v>1</v>
      </c>
      <c r="J522" s="1">
        <v>1</v>
      </c>
      <c r="K522" s="1">
        <v>1</v>
      </c>
      <c r="M522" s="1">
        <v>892</v>
      </c>
      <c r="N522" s="1">
        <v>1524</v>
      </c>
      <c r="O522" s="1">
        <v>3018</v>
      </c>
      <c r="P522" s="1">
        <v>1494</v>
      </c>
      <c r="Q522" s="1" t="s">
        <v>42</v>
      </c>
      <c r="S522" s="1" t="s">
        <v>42</v>
      </c>
      <c r="T522" s="1" t="s">
        <v>153</v>
      </c>
      <c r="U522" s="1">
        <v>679</v>
      </c>
      <c r="V522" s="5">
        <v>42879</v>
      </c>
      <c r="W522" s="5">
        <v>41771</v>
      </c>
      <c r="X522" s="1">
        <v>2120000</v>
      </c>
      <c r="Y522" s="1">
        <v>2120000</v>
      </c>
      <c r="AA522" s="1">
        <v>2240649.2000000002</v>
      </c>
      <c r="AB522" s="1" t="s">
        <v>354</v>
      </c>
      <c r="AC522" s="5">
        <v>42450</v>
      </c>
      <c r="AF522" s="1">
        <v>10011</v>
      </c>
      <c r="AI522" s="1" t="s">
        <v>45</v>
      </c>
      <c r="AJ522" s="1">
        <v>2016</v>
      </c>
      <c r="AK522" s="1" t="s">
        <v>49</v>
      </c>
      <c r="AL522" s="1">
        <v>57</v>
      </c>
    </row>
    <row r="523" spans="1:38" x14ac:dyDescent="0.2">
      <c r="A523" s="2" t="str">
        <f>HYPERLINK("https://www.compass.com/listing/160-west-12th-street-unit-98-manhattan-ny-10011/571654666008880065/","160 W 12th St, Unit 98")</f>
        <v>160 W 12th St, Unit 98</v>
      </c>
      <c r="B523" s="2" t="str">
        <f t="shared" si="78"/>
        <v>The Greenwich Lane</v>
      </c>
      <c r="C523" s="1" t="s">
        <v>40</v>
      </c>
      <c r="D523" s="1" t="s">
        <v>41</v>
      </c>
      <c r="E523" s="3">
        <v>8050000</v>
      </c>
      <c r="F523" s="1">
        <v>3283.03425774877</v>
      </c>
      <c r="G523" s="1">
        <v>5</v>
      </c>
      <c r="H523" s="1">
        <v>3</v>
      </c>
      <c r="I523" s="1">
        <v>4</v>
      </c>
      <c r="J523" s="1">
        <v>3.5</v>
      </c>
      <c r="M523" s="4">
        <v>2452</v>
      </c>
      <c r="N523" s="1">
        <v>4315</v>
      </c>
      <c r="O523" s="1">
        <v>8544</v>
      </c>
      <c r="P523" s="1">
        <v>4229</v>
      </c>
      <c r="Q523" s="1" t="s">
        <v>42</v>
      </c>
      <c r="S523" s="1" t="s">
        <v>42</v>
      </c>
      <c r="T523" s="1" t="s">
        <v>153</v>
      </c>
      <c r="V523" s="5">
        <v>42998</v>
      </c>
      <c r="W523" s="5">
        <v>42902</v>
      </c>
      <c r="X523" s="1">
        <v>8050000</v>
      </c>
      <c r="Y523" s="1">
        <v>8050000</v>
      </c>
      <c r="Z523" s="5">
        <v>41748</v>
      </c>
      <c r="AB523" s="1" t="s">
        <v>177</v>
      </c>
      <c r="AC523" s="5">
        <v>42902</v>
      </c>
      <c r="AF523" s="1">
        <v>10011</v>
      </c>
      <c r="AI523" s="1" t="s">
        <v>45</v>
      </c>
      <c r="AJ523" s="1">
        <v>2016</v>
      </c>
      <c r="AK523" s="1" t="s">
        <v>46</v>
      </c>
      <c r="AL523" s="1">
        <v>57</v>
      </c>
    </row>
    <row r="524" spans="1:38" x14ac:dyDescent="0.2">
      <c r="A524" s="2" t="str">
        <f>HYPERLINK("https://www.compass.com/listing/160-west-12th-street-unit-72-manhattan-ny-10011/29367259860429889/","160 W 12th St, Unit 72")</f>
        <v>160 W 12th St, Unit 72</v>
      </c>
      <c r="B524" s="2" t="str">
        <f t="shared" si="78"/>
        <v>The Greenwich Lane</v>
      </c>
      <c r="C524" s="1" t="s">
        <v>40</v>
      </c>
      <c r="D524" s="1" t="s">
        <v>41</v>
      </c>
      <c r="E524" s="3">
        <v>5857811</v>
      </c>
      <c r="F524" s="1">
        <v>2871.4761911764699</v>
      </c>
      <c r="G524" s="1">
        <v>4</v>
      </c>
      <c r="H524" s="1">
        <v>2</v>
      </c>
      <c r="I524" s="1">
        <v>2</v>
      </c>
      <c r="J524" s="1">
        <v>2</v>
      </c>
      <c r="K524" s="1">
        <v>2</v>
      </c>
      <c r="M524" s="4">
        <v>2040</v>
      </c>
      <c r="N524" s="1">
        <v>3555</v>
      </c>
      <c r="O524" s="1">
        <v>7040</v>
      </c>
      <c r="P524" s="1">
        <v>3485</v>
      </c>
      <c r="Q524" s="1" t="s">
        <v>42</v>
      </c>
      <c r="S524" s="1" t="s">
        <v>42</v>
      </c>
      <c r="T524" s="1" t="s">
        <v>153</v>
      </c>
      <c r="U524" s="1">
        <v>944</v>
      </c>
      <c r="V524" s="5">
        <v>42971</v>
      </c>
      <c r="W524" s="5">
        <v>41570</v>
      </c>
      <c r="X524" s="1">
        <v>5740000</v>
      </c>
      <c r="Y524" s="1">
        <v>5740000</v>
      </c>
      <c r="AA524" s="1">
        <v>5857811.4299999997</v>
      </c>
      <c r="AB524" s="1" t="s">
        <v>400</v>
      </c>
      <c r="AC524" s="5">
        <v>42514</v>
      </c>
      <c r="AF524" s="1">
        <v>10011</v>
      </c>
      <c r="AI524" s="1" t="s">
        <v>155</v>
      </c>
      <c r="AJ524" s="1">
        <v>2016</v>
      </c>
      <c r="AK524" s="1" t="s">
        <v>46</v>
      </c>
      <c r="AL524" s="1">
        <v>57</v>
      </c>
    </row>
    <row r="525" spans="1:38" x14ac:dyDescent="0.2">
      <c r="A525" s="2" t="str">
        <f>HYPERLINK("https://www.compass.com/listing/160-east-22nd-street-unit-19c-manhattan-ny-10010/602357840768250737/","160 E 22nd St, Unit 19C")</f>
        <v>160 E 22nd St, Unit 19C</v>
      </c>
      <c r="B525" s="2" t="str">
        <f>HYPERLINK("https://www.compass.com/building/160-e-22nd-st-manhattan-ny-10010/292796862321154661/","160 E 22nd St")</f>
        <v>160 E 22nd St</v>
      </c>
      <c r="C525" s="1" t="s">
        <v>54</v>
      </c>
      <c r="D525" s="1" t="s">
        <v>41</v>
      </c>
      <c r="E525" s="3">
        <v>2375000</v>
      </c>
      <c r="F525" s="1">
        <v>1842.5135764158199</v>
      </c>
      <c r="G525" s="1">
        <v>4</v>
      </c>
      <c r="H525" s="1">
        <v>2</v>
      </c>
      <c r="I525" s="1">
        <v>2</v>
      </c>
      <c r="J525" s="1">
        <v>2</v>
      </c>
      <c r="K525" s="1">
        <v>2</v>
      </c>
      <c r="M525" s="4">
        <v>1289</v>
      </c>
      <c r="N525" s="1">
        <v>1531</v>
      </c>
      <c r="O525" s="1">
        <v>4287</v>
      </c>
      <c r="P525" s="1">
        <v>2756</v>
      </c>
      <c r="Q525" s="1" t="s">
        <v>42</v>
      </c>
      <c r="S525" s="1" t="s">
        <v>42</v>
      </c>
      <c r="T525" s="1" t="s">
        <v>153</v>
      </c>
      <c r="U525" s="1">
        <v>130</v>
      </c>
      <c r="V525" s="5">
        <v>44314</v>
      </c>
      <c r="W525" s="5">
        <v>44068</v>
      </c>
      <c r="X525" s="1">
        <v>2575000</v>
      </c>
      <c r="Y525" s="1">
        <v>2575000</v>
      </c>
      <c r="Z525" s="5">
        <v>44216</v>
      </c>
      <c r="AA525" s="1">
        <v>2375000</v>
      </c>
      <c r="AB525" s="1" t="s">
        <v>424</v>
      </c>
      <c r="AC525" s="5">
        <v>44285</v>
      </c>
      <c r="AF525" s="1">
        <v>10010</v>
      </c>
      <c r="AI525" s="1" t="s">
        <v>406</v>
      </c>
      <c r="AJ525" s="1">
        <v>2012</v>
      </c>
      <c r="AK525" s="1" t="s">
        <v>49</v>
      </c>
      <c r="AL525" s="1">
        <v>81</v>
      </c>
    </row>
    <row r="526" spans="1:38" x14ac:dyDescent="0.2">
      <c r="A526" s="2" t="str">
        <f>HYPERLINK("https://www.compass.com/listing/21-west-20th-street-unit-7-manhattan-ny-10011/29374664224663505/","21 W 20th St, Unit 7")</f>
        <v>21 W 20th St, Unit 7</v>
      </c>
      <c r="B526" s="2" t="str">
        <f>HYPERLINK("https://www.compass.com/building/21w20-manhattan-ny/281906757389799461/","21W20")</f>
        <v>21W20</v>
      </c>
      <c r="C526" s="1" t="s">
        <v>56</v>
      </c>
      <c r="D526" s="1" t="s">
        <v>41</v>
      </c>
      <c r="E526" s="3">
        <v>2700000</v>
      </c>
      <c r="F526" s="1">
        <v>2073.7327188939998</v>
      </c>
      <c r="G526" s="1">
        <v>3.5</v>
      </c>
      <c r="H526" s="1">
        <v>2</v>
      </c>
      <c r="I526" s="1">
        <v>2</v>
      </c>
      <c r="J526" s="1">
        <v>2</v>
      </c>
      <c r="M526" s="4">
        <v>1302</v>
      </c>
      <c r="N526" s="1">
        <v>1881</v>
      </c>
      <c r="O526" s="1">
        <v>2287</v>
      </c>
      <c r="P526" s="1">
        <v>406</v>
      </c>
      <c r="Q526" s="1" t="s">
        <v>42</v>
      </c>
      <c r="S526" s="1" t="s">
        <v>42</v>
      </c>
      <c r="T526" s="1" t="s">
        <v>153</v>
      </c>
      <c r="U526" s="1">
        <v>36</v>
      </c>
      <c r="V526" s="5">
        <v>43670</v>
      </c>
      <c r="W526" s="5">
        <v>41920</v>
      </c>
      <c r="X526" s="1">
        <v>2975000</v>
      </c>
      <c r="Y526" s="1">
        <v>2975000</v>
      </c>
      <c r="Z526" s="5">
        <v>42404</v>
      </c>
      <c r="AA526" s="1">
        <v>2700000</v>
      </c>
      <c r="AB526" s="1" t="s">
        <v>425</v>
      </c>
      <c r="AC526" s="5">
        <v>42745</v>
      </c>
      <c r="AF526" s="1">
        <v>10011</v>
      </c>
      <c r="AI526" s="1" t="s">
        <v>81</v>
      </c>
      <c r="AJ526" s="1">
        <v>2016</v>
      </c>
      <c r="AK526" s="1" t="s">
        <v>49</v>
      </c>
      <c r="AL526" s="1">
        <v>13</v>
      </c>
    </row>
    <row r="527" spans="1:38" x14ac:dyDescent="0.2">
      <c r="A527" s="2" t="str">
        <f>HYPERLINK("https://www.compass.com/listing/160-west-12th-street-unit-25-manhattan-ny-10011/271623476811399473/","160 W 12th St, Unit 25")</f>
        <v>160 W 12th St, Unit 25</v>
      </c>
      <c r="B527" s="2" t="str">
        <f t="shared" ref="B527:B532" si="79">HYPERLINK("https://www.compass.com/building/the-greenwich-lane-manhattan-ny/282059161326355877/","The Greenwich Lane")</f>
        <v>The Greenwich Lane</v>
      </c>
      <c r="C527" s="1" t="s">
        <v>40</v>
      </c>
      <c r="D527" s="1" t="s">
        <v>41</v>
      </c>
      <c r="E527" s="3">
        <v>2500000</v>
      </c>
      <c r="F527" s="1">
        <v>2747.2527472527399</v>
      </c>
      <c r="G527" s="1">
        <v>2</v>
      </c>
      <c r="H527" s="1">
        <v>1</v>
      </c>
      <c r="I527" s="1">
        <v>1</v>
      </c>
      <c r="J527" s="1">
        <v>1</v>
      </c>
      <c r="K527" s="1">
        <v>1</v>
      </c>
      <c r="M527" s="1">
        <v>910</v>
      </c>
      <c r="N527" s="1">
        <v>1547</v>
      </c>
      <c r="O527" s="1">
        <v>3477</v>
      </c>
      <c r="P527" s="1">
        <v>1930</v>
      </c>
      <c r="Q527" s="1" t="s">
        <v>42</v>
      </c>
      <c r="S527" s="1" t="s">
        <v>42</v>
      </c>
      <c r="T527" s="1" t="s">
        <v>153</v>
      </c>
      <c r="U527" s="1">
        <v>56</v>
      </c>
      <c r="V527" s="5">
        <v>43738</v>
      </c>
      <c r="W527" s="5">
        <v>43627</v>
      </c>
      <c r="X527" s="1">
        <v>2650000</v>
      </c>
      <c r="Y527" s="1">
        <v>2650000</v>
      </c>
      <c r="Z527" s="5">
        <v>43683</v>
      </c>
      <c r="AA527" s="1">
        <v>2500000</v>
      </c>
      <c r="AB527" s="1" t="s">
        <v>426</v>
      </c>
      <c r="AC527" s="5">
        <v>43727</v>
      </c>
      <c r="AF527" s="1">
        <v>10011</v>
      </c>
      <c r="AI527" s="1" t="s">
        <v>45</v>
      </c>
      <c r="AJ527" s="1">
        <v>2016</v>
      </c>
      <c r="AK527" s="1" t="s">
        <v>49</v>
      </c>
      <c r="AL527" s="1">
        <v>57</v>
      </c>
    </row>
    <row r="528" spans="1:38" x14ac:dyDescent="0.2">
      <c r="A528" s="2" t="str">
        <f>HYPERLINK("https://www.compass.com/listing/160-west-12th-street-unit-74-manhattan-ny-10011/29367260372138113/","160 W 12th St, Unit 74")</f>
        <v>160 W 12th St, Unit 74</v>
      </c>
      <c r="B528" s="2" t="str">
        <f t="shared" si="79"/>
        <v>The Greenwich Lane</v>
      </c>
      <c r="C528" s="1" t="s">
        <v>40</v>
      </c>
      <c r="D528" s="1" t="s">
        <v>41</v>
      </c>
      <c r="E528" s="3">
        <v>9367266</v>
      </c>
      <c r="F528" s="1">
        <v>3181.81589673913</v>
      </c>
      <c r="G528" s="1">
        <v>5</v>
      </c>
      <c r="H528" s="1">
        <v>3</v>
      </c>
      <c r="I528" s="1">
        <v>3</v>
      </c>
      <c r="J528" s="1">
        <v>3</v>
      </c>
      <c r="K528" s="1">
        <v>3</v>
      </c>
      <c r="M528" s="4">
        <v>2944</v>
      </c>
      <c r="N528" s="1">
        <v>5386</v>
      </c>
      <c r="O528" s="1">
        <v>11581</v>
      </c>
      <c r="P528" s="1">
        <v>6195</v>
      </c>
      <c r="Q528" s="1" t="s">
        <v>42</v>
      </c>
      <c r="S528" s="1" t="s">
        <v>42</v>
      </c>
      <c r="T528" s="1" t="s">
        <v>153</v>
      </c>
      <c r="V528" s="5">
        <v>43678</v>
      </c>
      <c r="W528" s="5">
        <v>41623</v>
      </c>
      <c r="X528" s="1">
        <v>9180000</v>
      </c>
      <c r="Y528" s="1">
        <v>9180000</v>
      </c>
      <c r="Z528" s="5">
        <v>41623</v>
      </c>
      <c r="AA528" s="1">
        <v>9367266</v>
      </c>
      <c r="AB528" s="1" t="s">
        <v>427</v>
      </c>
      <c r="AC528" s="5">
        <v>42532</v>
      </c>
      <c r="AF528" s="1">
        <v>10011</v>
      </c>
      <c r="AI528" s="1" t="s">
        <v>428</v>
      </c>
      <c r="AJ528" s="1">
        <v>2016</v>
      </c>
      <c r="AK528" s="1" t="s">
        <v>46</v>
      </c>
      <c r="AL528" s="1">
        <v>57</v>
      </c>
    </row>
    <row r="529" spans="1:38" x14ac:dyDescent="0.2">
      <c r="A529" s="2" t="str">
        <f>HYPERLINK("https://www.compass.com/listing/160-west-12th-street-unit-78-manhattan-ny-10011/29367261865310385/","160 W 12th St, Unit 78")</f>
        <v>160 W 12th St, Unit 78</v>
      </c>
      <c r="B529" s="2" t="str">
        <f t="shared" si="79"/>
        <v>The Greenwich Lane</v>
      </c>
      <c r="C529" s="1" t="s">
        <v>40</v>
      </c>
      <c r="D529" s="1" t="s">
        <v>41</v>
      </c>
      <c r="E529" s="3">
        <v>7347029</v>
      </c>
      <c r="F529" s="1">
        <v>3001.2373366012998</v>
      </c>
      <c r="G529" s="1">
        <v>6</v>
      </c>
      <c r="H529" s="1">
        <v>3</v>
      </c>
      <c r="I529" s="1">
        <v>3</v>
      </c>
      <c r="J529" s="1">
        <v>3</v>
      </c>
      <c r="K529" s="1">
        <v>3</v>
      </c>
      <c r="M529" s="4">
        <v>2448</v>
      </c>
      <c r="N529" s="1">
        <v>4265</v>
      </c>
      <c r="O529" s="1">
        <v>9171</v>
      </c>
      <c r="P529" s="1">
        <v>4906</v>
      </c>
      <c r="Q529" s="1" t="s">
        <v>42</v>
      </c>
      <c r="S529" s="1" t="s">
        <v>42</v>
      </c>
      <c r="T529" s="1" t="s">
        <v>153</v>
      </c>
      <c r="V529" s="5">
        <v>43665</v>
      </c>
      <c r="W529" s="5">
        <v>41626</v>
      </c>
      <c r="X529" s="1">
        <v>7300000</v>
      </c>
      <c r="Y529" s="1">
        <v>7300000</v>
      </c>
      <c r="Z529" s="5">
        <v>41626</v>
      </c>
      <c r="AA529" s="1">
        <v>7347029</v>
      </c>
      <c r="AB529" s="1" t="s">
        <v>429</v>
      </c>
      <c r="AC529" s="5">
        <v>42572</v>
      </c>
      <c r="AF529" s="1">
        <v>10011</v>
      </c>
      <c r="AI529" s="1" t="s">
        <v>45</v>
      </c>
      <c r="AJ529" s="1">
        <v>2016</v>
      </c>
      <c r="AK529" s="1" t="s">
        <v>46</v>
      </c>
      <c r="AL529" s="1">
        <v>57</v>
      </c>
    </row>
    <row r="530" spans="1:38" x14ac:dyDescent="0.2">
      <c r="A530" s="2" t="str">
        <f>HYPERLINK("https://www.compass.com/listing/160-west-12th-street-unit-96-manhattan-ny-10011/29367265380134065/","160 W 12th St, Unit 96")</f>
        <v>160 W 12th St, Unit 96</v>
      </c>
      <c r="B530" s="2" t="str">
        <f t="shared" si="79"/>
        <v>The Greenwich Lane</v>
      </c>
      <c r="C530" s="1" t="s">
        <v>40</v>
      </c>
      <c r="D530" s="1" t="s">
        <v>41</v>
      </c>
      <c r="E530" s="3">
        <v>8572105</v>
      </c>
      <c r="F530" s="1">
        <v>3010.92553565156</v>
      </c>
      <c r="G530" s="1">
        <v>5</v>
      </c>
      <c r="H530" s="1">
        <v>3</v>
      </c>
      <c r="I530" s="1">
        <v>3</v>
      </c>
      <c r="J530" s="1">
        <v>3</v>
      </c>
      <c r="K530" s="1">
        <v>3</v>
      </c>
      <c r="M530" s="4">
        <v>2847</v>
      </c>
      <c r="N530" s="1">
        <v>5132</v>
      </c>
      <c r="O530" s="1">
        <v>11036</v>
      </c>
      <c r="P530" s="1">
        <v>5904</v>
      </c>
      <c r="Q530" s="1" t="s">
        <v>42</v>
      </c>
      <c r="S530" s="1" t="s">
        <v>42</v>
      </c>
      <c r="T530" s="1" t="s">
        <v>153</v>
      </c>
      <c r="V530" s="5">
        <v>43677</v>
      </c>
      <c r="W530" s="5">
        <v>41625</v>
      </c>
      <c r="X530" s="1">
        <v>8600000</v>
      </c>
      <c r="Y530" s="1">
        <v>8600000</v>
      </c>
      <c r="Z530" s="5">
        <v>41625</v>
      </c>
      <c r="AA530" s="1">
        <v>8572105</v>
      </c>
      <c r="AB530" s="1" t="s">
        <v>430</v>
      </c>
      <c r="AC530" s="5">
        <v>42538</v>
      </c>
      <c r="AF530" s="1">
        <v>10011</v>
      </c>
      <c r="AI530" s="1" t="s">
        <v>233</v>
      </c>
      <c r="AJ530" s="1">
        <v>2016</v>
      </c>
      <c r="AK530" s="1" t="s">
        <v>46</v>
      </c>
      <c r="AL530" s="1">
        <v>57</v>
      </c>
    </row>
    <row r="531" spans="1:38" x14ac:dyDescent="0.2">
      <c r="A531" s="2" t="str">
        <f>HYPERLINK("https://www.compass.com/listing/160-west-12th-street-unit-104-manhattan-ny-10011/29367267057855729/","160 W 12th St, Unit 104")</f>
        <v>160 W 12th St, Unit 104</v>
      </c>
      <c r="B531" s="2" t="str">
        <f t="shared" si="79"/>
        <v>The Greenwich Lane</v>
      </c>
      <c r="C531" s="1" t="s">
        <v>40</v>
      </c>
      <c r="D531" s="1" t="s">
        <v>41</v>
      </c>
      <c r="E531" s="3">
        <v>9978189</v>
      </c>
      <c r="F531" s="1">
        <v>3436.0154958677599</v>
      </c>
      <c r="G531" s="1">
        <v>6.5</v>
      </c>
      <c r="H531" s="1">
        <v>3</v>
      </c>
      <c r="I531" s="1">
        <v>3</v>
      </c>
      <c r="J531" s="1">
        <v>3</v>
      </c>
      <c r="K531" s="1">
        <v>3</v>
      </c>
      <c r="M531" s="4">
        <v>2904</v>
      </c>
      <c r="N531" s="1">
        <v>5379</v>
      </c>
      <c r="O531" s="1">
        <v>11565</v>
      </c>
      <c r="P531" s="1">
        <v>6186</v>
      </c>
      <c r="Q531" s="1" t="s">
        <v>42</v>
      </c>
      <c r="S531" s="1" t="s">
        <v>42</v>
      </c>
      <c r="T531" s="1" t="s">
        <v>153</v>
      </c>
      <c r="V531" s="5">
        <v>43631</v>
      </c>
      <c r="W531" s="5">
        <v>41628</v>
      </c>
      <c r="X531" s="1">
        <v>10030000</v>
      </c>
      <c r="Y531" s="1">
        <v>10030000</v>
      </c>
      <c r="Z531" s="5">
        <v>41628</v>
      </c>
      <c r="AA531" s="1">
        <v>9978189</v>
      </c>
      <c r="AB531" s="1" t="s">
        <v>431</v>
      </c>
      <c r="AC531" s="5">
        <v>42580</v>
      </c>
      <c r="AF531" s="1">
        <v>10011</v>
      </c>
      <c r="AI531" s="1" t="s">
        <v>233</v>
      </c>
      <c r="AJ531" s="1">
        <v>2016</v>
      </c>
      <c r="AK531" s="1" t="s">
        <v>46</v>
      </c>
      <c r="AL531" s="1">
        <v>57</v>
      </c>
    </row>
    <row r="532" spans="1:38" x14ac:dyDescent="0.2">
      <c r="A532" s="2" t="str">
        <f>HYPERLINK("https://www.compass.com/listing/160-west-12th-street-unit-88-manhattan-ny-10011/4852260968996027089/","160 W 12th St, Unit 88")</f>
        <v>160 W 12th St, Unit 88</v>
      </c>
      <c r="B532" s="2" t="str">
        <f t="shared" si="79"/>
        <v>The Greenwich Lane</v>
      </c>
      <c r="C532" s="1" t="s">
        <v>40</v>
      </c>
      <c r="D532" s="1" t="s">
        <v>41</v>
      </c>
      <c r="E532" s="3">
        <v>7499868</v>
      </c>
      <c r="F532" s="1">
        <v>3058.67365008156</v>
      </c>
      <c r="G532" s="1">
        <v>6</v>
      </c>
      <c r="H532" s="1">
        <v>3</v>
      </c>
      <c r="I532" s="1">
        <v>4</v>
      </c>
      <c r="J532" s="1">
        <v>3.5</v>
      </c>
      <c r="K532" s="1">
        <v>3</v>
      </c>
      <c r="L532" s="1">
        <v>1</v>
      </c>
      <c r="M532" s="4">
        <v>2452</v>
      </c>
      <c r="N532" s="1">
        <v>4294</v>
      </c>
      <c r="O532" s="1">
        <v>9233</v>
      </c>
      <c r="P532" s="1">
        <v>4939</v>
      </c>
      <c r="Q532" s="1" t="s">
        <v>42</v>
      </c>
      <c r="S532" s="1" t="s">
        <v>42</v>
      </c>
      <c r="T532" s="1" t="s">
        <v>153</v>
      </c>
      <c r="U532" s="1">
        <v>61</v>
      </c>
      <c r="V532" s="5">
        <v>43406</v>
      </c>
      <c r="W532" s="5">
        <v>41563</v>
      </c>
      <c r="X532" s="1">
        <v>7499868</v>
      </c>
      <c r="Y532" s="1">
        <v>7450000</v>
      </c>
      <c r="Z532" s="5">
        <v>41625</v>
      </c>
      <c r="AA532" s="1">
        <v>7499867.79</v>
      </c>
      <c r="AB532" s="1" t="s">
        <v>432</v>
      </c>
      <c r="AC532" s="5">
        <v>42585</v>
      </c>
      <c r="AF532" s="1">
        <v>10011</v>
      </c>
      <c r="AI532" s="1" t="s">
        <v>45</v>
      </c>
      <c r="AJ532" s="1">
        <v>2016</v>
      </c>
      <c r="AK532" s="1" t="s">
        <v>46</v>
      </c>
      <c r="AL532" s="1">
        <v>57</v>
      </c>
    </row>
    <row r="533" spans="1:38" x14ac:dyDescent="0.2">
      <c r="A533" s="2" t="str">
        <f>HYPERLINK("https://www.compass.com/listing/160-east-22nd-street-unit-20a-manhattan-ny-10010/29378203311250417/","160 E 22nd St, Unit 20A")</f>
        <v>160 E 22nd St, Unit 20A</v>
      </c>
      <c r="B533" s="2" t="str">
        <f t="shared" ref="B533:B534" si="80">HYPERLINK("https://www.compass.com/building/160-e-22nd-st-manhattan-ny-10010/292796862321154661/","160 E 22nd St")</f>
        <v>160 E 22nd St</v>
      </c>
      <c r="C533" s="1" t="s">
        <v>54</v>
      </c>
      <c r="D533" s="1" t="s">
        <v>41</v>
      </c>
      <c r="E533" s="3">
        <v>3300000</v>
      </c>
      <c r="F533" s="1">
        <v>2736.3184079601901</v>
      </c>
      <c r="G533" s="1">
        <v>4</v>
      </c>
      <c r="H533" s="1">
        <v>2</v>
      </c>
      <c r="I533" s="1">
        <v>2</v>
      </c>
      <c r="J533" s="1">
        <v>2</v>
      </c>
      <c r="M533" s="4">
        <v>1206</v>
      </c>
      <c r="N533" s="1">
        <v>1324</v>
      </c>
      <c r="O533" s="1">
        <v>1834</v>
      </c>
      <c r="P533" s="1">
        <v>510</v>
      </c>
      <c r="Q533" s="1" t="s">
        <v>42</v>
      </c>
      <c r="S533" s="1" t="s">
        <v>42</v>
      </c>
      <c r="T533" s="1" t="s">
        <v>153</v>
      </c>
      <c r="U533" s="1">
        <v>63</v>
      </c>
      <c r="V533" s="5">
        <v>43631</v>
      </c>
      <c r="W533" s="5">
        <v>42105</v>
      </c>
      <c r="X533" s="1">
        <v>3495000</v>
      </c>
      <c r="Y533" s="1">
        <v>3495000</v>
      </c>
      <c r="Z533" s="5">
        <v>42168</v>
      </c>
      <c r="AA533" s="1">
        <v>3300000</v>
      </c>
      <c r="AB533" s="1" t="s">
        <v>433</v>
      </c>
      <c r="AC533" s="5">
        <v>42216</v>
      </c>
      <c r="AF533" s="1">
        <v>10010</v>
      </c>
      <c r="AI533" s="1" t="s">
        <v>434</v>
      </c>
      <c r="AJ533" s="1">
        <v>2012</v>
      </c>
      <c r="AK533" s="1" t="s">
        <v>49</v>
      </c>
      <c r="AL533" s="1">
        <v>81</v>
      </c>
    </row>
    <row r="534" spans="1:38" x14ac:dyDescent="0.2">
      <c r="A534" s="2" t="str">
        <f>HYPERLINK("https://www.compass.com/listing/160-east-22nd-street-unit-3c-manhattan-ny-10010/29378173137350049/","160 E 22nd St, Unit 3C")</f>
        <v>160 E 22nd St, Unit 3C</v>
      </c>
      <c r="B534" s="2" t="str">
        <f t="shared" si="80"/>
        <v>160 E 22nd St</v>
      </c>
      <c r="C534" s="1" t="s">
        <v>54</v>
      </c>
      <c r="D534" s="1" t="s">
        <v>41</v>
      </c>
      <c r="E534" s="3">
        <v>2650000</v>
      </c>
      <c r="F534" s="1">
        <v>2336.8606701939998</v>
      </c>
      <c r="G534" s="1">
        <v>3</v>
      </c>
      <c r="H534" s="1">
        <v>2</v>
      </c>
      <c r="I534" s="1">
        <v>2</v>
      </c>
      <c r="M534" s="4">
        <v>1134</v>
      </c>
      <c r="N534" s="1">
        <v>1075</v>
      </c>
      <c r="O534" s="1">
        <v>1475</v>
      </c>
      <c r="P534" s="1">
        <v>400</v>
      </c>
      <c r="Q534" s="1" t="s">
        <v>42</v>
      </c>
      <c r="S534" s="1" t="s">
        <v>42</v>
      </c>
      <c r="T534" s="1" t="s">
        <v>153</v>
      </c>
      <c r="U534" s="1">
        <v>442</v>
      </c>
      <c r="V534" s="5">
        <v>43166</v>
      </c>
      <c r="W534" s="5">
        <v>41975</v>
      </c>
      <c r="X534" s="1">
        <v>2750000</v>
      </c>
      <c r="Y534" s="1">
        <v>2750000</v>
      </c>
      <c r="AA534" s="1">
        <v>2650000</v>
      </c>
      <c r="AB534" s="1" t="s">
        <v>405</v>
      </c>
      <c r="AC534" s="5">
        <v>42417</v>
      </c>
      <c r="AF534" s="1">
        <v>10010</v>
      </c>
      <c r="AI534" s="1" t="s">
        <v>406</v>
      </c>
      <c r="AJ534" s="1">
        <v>2012</v>
      </c>
      <c r="AK534" s="1" t="s">
        <v>46</v>
      </c>
      <c r="AL534" s="1">
        <v>81</v>
      </c>
    </row>
    <row r="535" spans="1:38" x14ac:dyDescent="0.2">
      <c r="A535" s="2" t="str">
        <f>HYPERLINK("https://www.compass.com/listing/2-park-place-unit-29b-manhattan-ny-10007/624676972674598793/","2 Park Pl, Unit 29B")</f>
        <v>2 Park Pl, Unit 29B</v>
      </c>
      <c r="B535" s="2" t="str">
        <f>HYPERLINK("https://www.compass.com/building/the-woolworth-tower-residences-manhattan-ny/294842395015266853/","The Woolworth Tower Residences")</f>
        <v>The Woolworth Tower Residences</v>
      </c>
      <c r="C535" s="1" t="s">
        <v>65</v>
      </c>
      <c r="D535" s="1" t="s">
        <v>41</v>
      </c>
      <c r="E535" s="3">
        <v>13500000</v>
      </c>
      <c r="F535" s="1">
        <v>2920.1817001946702</v>
      </c>
      <c r="G535" s="1">
        <v>6</v>
      </c>
      <c r="H535" s="1">
        <v>3</v>
      </c>
      <c r="I535" s="1">
        <v>4</v>
      </c>
      <c r="J535" s="1">
        <v>3.5</v>
      </c>
      <c r="K535" s="1">
        <v>3</v>
      </c>
      <c r="L535" s="1">
        <v>1</v>
      </c>
      <c r="M535" s="4">
        <v>4623</v>
      </c>
      <c r="N535" s="1">
        <v>8342</v>
      </c>
      <c r="O535" s="1">
        <v>16079</v>
      </c>
      <c r="P535" s="1">
        <v>7737</v>
      </c>
      <c r="Q535" s="1" t="s">
        <v>42</v>
      </c>
      <c r="S535" s="1" t="s">
        <v>42</v>
      </c>
      <c r="T535" s="1" t="s">
        <v>153</v>
      </c>
      <c r="U535" s="1">
        <v>114</v>
      </c>
      <c r="V535" s="5">
        <v>44252</v>
      </c>
      <c r="W535" s="5">
        <v>44113</v>
      </c>
      <c r="X535" s="1">
        <v>15950000</v>
      </c>
      <c r="Y535" s="1">
        <v>14750000</v>
      </c>
      <c r="Z535" s="5">
        <v>44227</v>
      </c>
      <c r="AA535" s="1">
        <v>13500000</v>
      </c>
      <c r="AB535" s="1" t="s">
        <v>435</v>
      </c>
      <c r="AC535" s="5">
        <v>44239</v>
      </c>
      <c r="AF535" s="1">
        <v>10007</v>
      </c>
      <c r="AI535" s="1" t="s">
        <v>436</v>
      </c>
      <c r="AJ535" s="1">
        <v>1913</v>
      </c>
      <c r="AK535" s="1" t="s">
        <v>46</v>
      </c>
      <c r="AL535" s="1">
        <v>32</v>
      </c>
    </row>
    <row r="536" spans="1:38" x14ac:dyDescent="0.2">
      <c r="A536" s="2" t="str">
        <f>HYPERLINK("https://www.compass.com/listing/160-east-22nd-street-unit-phb-manhattan-ny-10010/29378207077735521/","160 E 22nd St, Unit PHB")</f>
        <v>160 E 22nd St, Unit PHB</v>
      </c>
      <c r="B536" s="2" t="str">
        <f>HYPERLINK("https://www.compass.com/building/160-e-22nd-st-manhattan-ny-10010/292796862321154661/","160 E 22nd St")</f>
        <v>160 E 22nd St</v>
      </c>
      <c r="C536" s="1" t="s">
        <v>54</v>
      </c>
      <c r="D536" s="1" t="s">
        <v>41</v>
      </c>
      <c r="E536" s="3">
        <v>5625000</v>
      </c>
      <c r="F536" s="1">
        <v>2990.43062200956</v>
      </c>
      <c r="G536" s="1">
        <v>6</v>
      </c>
      <c r="H536" s="1">
        <v>3</v>
      </c>
      <c r="I536" s="1">
        <v>3</v>
      </c>
      <c r="J536" s="1">
        <v>2.5</v>
      </c>
      <c r="M536" s="4">
        <v>1881</v>
      </c>
      <c r="N536" s="1">
        <v>2494</v>
      </c>
      <c r="O536" s="1">
        <v>5136</v>
      </c>
      <c r="P536" s="1">
        <v>2642</v>
      </c>
      <c r="Q536" s="1" t="s">
        <v>42</v>
      </c>
      <c r="S536" s="1" t="s">
        <v>42</v>
      </c>
      <c r="T536" s="1" t="s">
        <v>153</v>
      </c>
      <c r="U536" s="1">
        <v>109</v>
      </c>
      <c r="V536" s="5">
        <v>43096</v>
      </c>
      <c r="W536" s="5">
        <v>42912</v>
      </c>
      <c r="X536" s="1">
        <v>5995000</v>
      </c>
      <c r="Y536" s="1">
        <v>5995000</v>
      </c>
      <c r="AA536" s="1">
        <v>5625000</v>
      </c>
      <c r="AB536" s="1" t="s">
        <v>172</v>
      </c>
      <c r="AC536" s="5">
        <v>43209</v>
      </c>
      <c r="AF536" s="1">
        <v>10010</v>
      </c>
      <c r="AI536" s="1" t="s">
        <v>437</v>
      </c>
      <c r="AJ536" s="1">
        <v>2012</v>
      </c>
      <c r="AK536" s="1" t="s">
        <v>46</v>
      </c>
      <c r="AL536" s="1">
        <v>81</v>
      </c>
    </row>
    <row r="537" spans="1:38" x14ac:dyDescent="0.2">
      <c r="A537" s="2" t="str">
        <f>HYPERLINK("https://www.compass.com/listing/160-west-12th-street-unit-54-manhattan-ny-10011/29367255062149153/","160 W 12th St, Unit 54")</f>
        <v>160 W 12th St, Unit 54</v>
      </c>
      <c r="B537" s="2" t="str">
        <f t="shared" ref="B537:B540" si="81">HYPERLINK("https://www.compass.com/building/the-greenwich-lane-manhattan-ny/282059161326355877/","The Greenwich Lane")</f>
        <v>The Greenwich Lane</v>
      </c>
      <c r="C537" s="1" t="s">
        <v>40</v>
      </c>
      <c r="D537" s="1" t="s">
        <v>41</v>
      </c>
      <c r="E537" s="3">
        <v>8133511</v>
      </c>
      <c r="F537" s="1">
        <v>2886.2707594038302</v>
      </c>
      <c r="G537" s="1">
        <v>6</v>
      </c>
      <c r="H537" s="1">
        <v>4</v>
      </c>
      <c r="I537" s="1">
        <v>4</v>
      </c>
      <c r="J537" s="1">
        <v>4</v>
      </c>
      <c r="K537" s="1">
        <v>4</v>
      </c>
      <c r="M537" s="4">
        <v>2818</v>
      </c>
      <c r="N537" s="1">
        <v>4930</v>
      </c>
      <c r="O537" s="1">
        <v>9762</v>
      </c>
      <c r="P537" s="1">
        <v>4832</v>
      </c>
      <c r="Q537" s="1" t="s">
        <v>42</v>
      </c>
      <c r="S537" s="1" t="s">
        <v>42</v>
      </c>
      <c r="T537" s="1" t="s">
        <v>153</v>
      </c>
      <c r="U537" s="1">
        <v>38</v>
      </c>
      <c r="V537" s="5">
        <v>43631</v>
      </c>
      <c r="W537" s="5">
        <v>41587</v>
      </c>
      <c r="X537" s="1">
        <v>8170000</v>
      </c>
      <c r="Y537" s="1">
        <v>8170000</v>
      </c>
      <c r="Z537" s="5">
        <v>41625</v>
      </c>
      <c r="AA537" s="1">
        <v>8133511</v>
      </c>
      <c r="AB537" s="1" t="s">
        <v>438</v>
      </c>
      <c r="AC537" s="5">
        <v>42460</v>
      </c>
      <c r="AF537" s="1">
        <v>10011</v>
      </c>
      <c r="AI537" s="1" t="s">
        <v>364</v>
      </c>
      <c r="AJ537" s="1">
        <v>2016</v>
      </c>
      <c r="AK537" s="1" t="s">
        <v>46</v>
      </c>
      <c r="AL537" s="1">
        <v>57</v>
      </c>
    </row>
    <row r="538" spans="1:38" x14ac:dyDescent="0.2">
      <c r="A538" s="2" t="str">
        <f>HYPERLINK("https://www.compass.com/listing/160-west-12th-street-unit-64-manhattan-ny-10011/29367258065225985/","160 W 12th St, Unit 64")</f>
        <v>160 W 12th St, Unit 64</v>
      </c>
      <c r="B538" s="2" t="str">
        <f t="shared" si="81"/>
        <v>The Greenwich Lane</v>
      </c>
      <c r="C538" s="1" t="s">
        <v>40</v>
      </c>
      <c r="D538" s="1" t="s">
        <v>41</v>
      </c>
      <c r="E538" s="3">
        <v>8744550</v>
      </c>
      <c r="F538" s="1">
        <v>3103.10503903477</v>
      </c>
      <c r="G538" s="1">
        <v>7</v>
      </c>
      <c r="H538" s="1">
        <v>4</v>
      </c>
      <c r="I538" s="1">
        <v>4</v>
      </c>
      <c r="J538" s="1">
        <v>4</v>
      </c>
      <c r="K538" s="1">
        <v>4</v>
      </c>
      <c r="M538" s="4">
        <v>2818</v>
      </c>
      <c r="N538" s="1">
        <v>4952</v>
      </c>
      <c r="O538" s="1">
        <v>9806</v>
      </c>
      <c r="P538" s="1">
        <v>4854</v>
      </c>
      <c r="Q538" s="1" t="s">
        <v>42</v>
      </c>
      <c r="S538" s="1" t="s">
        <v>42</v>
      </c>
      <c r="T538" s="1" t="s">
        <v>153</v>
      </c>
      <c r="U538" s="1">
        <v>368</v>
      </c>
      <c r="V538" s="5">
        <v>43631</v>
      </c>
      <c r="W538" s="5">
        <v>41705</v>
      </c>
      <c r="X538" s="1">
        <v>8570000</v>
      </c>
      <c r="Y538" s="1">
        <v>8570000</v>
      </c>
      <c r="Z538" s="5">
        <v>42073</v>
      </c>
      <c r="AA538" s="1">
        <v>8744550</v>
      </c>
      <c r="AB538" s="1" t="s">
        <v>439</v>
      </c>
      <c r="AC538" s="5">
        <v>42459</v>
      </c>
      <c r="AF538" s="1">
        <v>10011</v>
      </c>
      <c r="AI538" s="1" t="s">
        <v>158</v>
      </c>
      <c r="AJ538" s="1">
        <v>2016</v>
      </c>
      <c r="AK538" s="1" t="s">
        <v>46</v>
      </c>
      <c r="AL538" s="1">
        <v>57</v>
      </c>
    </row>
    <row r="539" spans="1:38" x14ac:dyDescent="0.2">
      <c r="A539" s="2" t="str">
        <f>HYPERLINK("https://www.compass.com/listing/160-west-12th-street-unit-94-manhattan-ny-10011/29367264901941617/","160 W 12th St, Unit 94")</f>
        <v>160 W 12th St, Unit 94</v>
      </c>
      <c r="B539" s="2" t="str">
        <f t="shared" si="81"/>
        <v>The Greenwich Lane</v>
      </c>
      <c r="C539" s="1" t="s">
        <v>40</v>
      </c>
      <c r="D539" s="1" t="s">
        <v>41</v>
      </c>
      <c r="E539" s="3">
        <v>11528340</v>
      </c>
      <c r="F539" s="1">
        <v>3473.4377252184299</v>
      </c>
      <c r="G539" s="1">
        <v>6</v>
      </c>
      <c r="H539" s="1">
        <v>4</v>
      </c>
      <c r="I539" s="1">
        <v>4</v>
      </c>
      <c r="J539" s="1">
        <v>4</v>
      </c>
      <c r="K539" s="1">
        <v>4</v>
      </c>
      <c r="M539" s="4">
        <v>3319</v>
      </c>
      <c r="N539" s="1">
        <v>6037</v>
      </c>
      <c r="O539" s="1">
        <v>12980</v>
      </c>
      <c r="P539" s="1">
        <v>6943</v>
      </c>
      <c r="Q539" s="1" t="s">
        <v>42</v>
      </c>
      <c r="S539" s="1" t="s">
        <v>42</v>
      </c>
      <c r="T539" s="1" t="s">
        <v>153</v>
      </c>
      <c r="U539" s="1">
        <v>51</v>
      </c>
      <c r="V539" s="5">
        <v>42578</v>
      </c>
      <c r="W539" s="5">
        <v>41623</v>
      </c>
      <c r="X539" s="1">
        <v>11300000</v>
      </c>
      <c r="Y539" s="1">
        <v>11528339</v>
      </c>
      <c r="Z539" s="5">
        <v>41675</v>
      </c>
      <c r="AA539" s="1">
        <v>11528339.810000001</v>
      </c>
      <c r="AB539" s="1" t="s">
        <v>440</v>
      </c>
      <c r="AC539" s="5">
        <v>42537</v>
      </c>
      <c r="AF539" s="1">
        <v>10011</v>
      </c>
      <c r="AI539" s="1" t="s">
        <v>428</v>
      </c>
      <c r="AJ539" s="1">
        <v>2016</v>
      </c>
      <c r="AK539" s="1" t="s">
        <v>46</v>
      </c>
      <c r="AL539" s="1">
        <v>57</v>
      </c>
    </row>
    <row r="540" spans="1:38" x14ac:dyDescent="0.2">
      <c r="A540" s="2" t="str">
        <f>HYPERLINK("https://www.compass.com/listing/160-west-12th-street-unit-44-manhattan-ny-10011/4840094165331098033/","160 W 12th St, Unit 44")</f>
        <v>160 W 12th St, Unit 44</v>
      </c>
      <c r="B540" s="2" t="str">
        <f t="shared" si="81"/>
        <v>The Greenwich Lane</v>
      </c>
      <c r="C540" s="1" t="s">
        <v>40</v>
      </c>
      <c r="D540" s="1" t="s">
        <v>41</v>
      </c>
      <c r="E540" s="3">
        <v>8133402</v>
      </c>
      <c r="F540" s="1">
        <v>2886.2320794889902</v>
      </c>
      <c r="G540" s="1">
        <v>6</v>
      </c>
      <c r="H540" s="1">
        <v>4</v>
      </c>
      <c r="I540" s="1">
        <v>4</v>
      </c>
      <c r="J540" s="1">
        <v>4</v>
      </c>
      <c r="K540" s="1">
        <v>4</v>
      </c>
      <c r="M540" s="4">
        <v>2818</v>
      </c>
      <c r="N540" s="1">
        <v>4900</v>
      </c>
      <c r="O540" s="1">
        <v>9702</v>
      </c>
      <c r="P540" s="1">
        <v>4802</v>
      </c>
      <c r="Q540" s="1" t="s">
        <v>42</v>
      </c>
      <c r="S540" s="1" t="s">
        <v>42</v>
      </c>
      <c r="T540" s="1" t="s">
        <v>153</v>
      </c>
      <c r="U540" s="1">
        <v>44</v>
      </c>
      <c r="V540" s="5">
        <v>43678</v>
      </c>
      <c r="W540" s="5">
        <v>41662</v>
      </c>
      <c r="X540" s="1">
        <v>7970000</v>
      </c>
      <c r="Y540" s="1">
        <v>7970000</v>
      </c>
      <c r="Z540" s="5">
        <v>41706</v>
      </c>
      <c r="AA540" s="1">
        <v>8133402</v>
      </c>
      <c r="AB540" s="1" t="s">
        <v>441</v>
      </c>
      <c r="AC540" s="5">
        <v>42462</v>
      </c>
      <c r="AF540" s="1">
        <v>10011</v>
      </c>
      <c r="AI540" s="1" t="s">
        <v>428</v>
      </c>
      <c r="AJ540" s="1">
        <v>2016</v>
      </c>
      <c r="AK540" s="1" t="s">
        <v>46</v>
      </c>
      <c r="AL540" s="1">
        <v>57</v>
      </c>
    </row>
    <row r="541" spans="1:38" x14ac:dyDescent="0.2">
      <c r="A541" s="2" t="str">
        <f>HYPERLINK("https://www.compass.com/listing/21-west-20th-street-unit-1-manhattan-ny-10011/29374661523531697/","21 W 20th St, Unit 1")</f>
        <v>21 W 20th St, Unit 1</v>
      </c>
      <c r="B541" s="2" t="str">
        <f>HYPERLINK("https://www.compass.com/building/21w20-manhattan-ny/281906757389799461/","21W20")</f>
        <v>21W20</v>
      </c>
      <c r="C541" s="1" t="s">
        <v>56</v>
      </c>
      <c r="D541" s="1" t="s">
        <v>41</v>
      </c>
      <c r="E541" s="3">
        <v>2543284</v>
      </c>
      <c r="F541" s="1">
        <v>1953.36712749615</v>
      </c>
      <c r="G541" s="1">
        <v>3.5</v>
      </c>
      <c r="H541" s="1">
        <v>2</v>
      </c>
      <c r="I541" s="1">
        <v>2</v>
      </c>
      <c r="J541" s="1">
        <v>2</v>
      </c>
      <c r="M541" s="4">
        <v>1302</v>
      </c>
      <c r="N541" s="1">
        <v>1763</v>
      </c>
      <c r="O541" s="1">
        <v>2143</v>
      </c>
      <c r="P541" s="1">
        <v>380</v>
      </c>
      <c r="Q541" s="1" t="s">
        <v>42</v>
      </c>
      <c r="S541" s="1" t="s">
        <v>42</v>
      </c>
      <c r="T541" s="1" t="s">
        <v>153</v>
      </c>
      <c r="V541" s="5">
        <v>43678</v>
      </c>
      <c r="W541" s="5">
        <v>41730</v>
      </c>
      <c r="X541" s="1">
        <v>2495000</v>
      </c>
      <c r="Y541" s="1">
        <v>2545000</v>
      </c>
      <c r="Z541" s="5">
        <v>42340</v>
      </c>
      <c r="AA541" s="1">
        <v>2543284</v>
      </c>
      <c r="AB541" s="1" t="s">
        <v>442</v>
      </c>
      <c r="AC541" s="5">
        <v>42509</v>
      </c>
      <c r="AF541" s="1">
        <v>10011</v>
      </c>
      <c r="AI541" s="1" t="s">
        <v>81</v>
      </c>
      <c r="AJ541" s="1">
        <v>2016</v>
      </c>
      <c r="AK541" s="1" t="s">
        <v>49</v>
      </c>
      <c r="AL541" s="1">
        <v>13</v>
      </c>
    </row>
    <row r="542" spans="1:38" x14ac:dyDescent="0.2">
      <c r="A542" s="2" t="str">
        <f>HYPERLINK("https://www.compass.com/listing/10-madison-square-west-unit-20c-manhattan-ny-10010/70920377697624657/","10 Madison Sq W, Unit 20C")</f>
        <v>10 Madison Sq W, Unit 20C</v>
      </c>
      <c r="B542" s="2" t="str">
        <f>HYPERLINK("https://www.compass.com/building/10-madison-square-west-manhattan-ny/294838725091521285/","10 Madison Square West")</f>
        <v>10 Madison Square West</v>
      </c>
      <c r="C542" s="1" t="s">
        <v>56</v>
      </c>
      <c r="D542" s="1" t="s">
        <v>41</v>
      </c>
      <c r="E542" s="3">
        <v>12168088</v>
      </c>
      <c r="F542" s="1">
        <v>4815.2305104867401</v>
      </c>
      <c r="G542" s="1">
        <v>6</v>
      </c>
      <c r="H542" s="1">
        <v>3</v>
      </c>
      <c r="J542" s="1">
        <v>3.5</v>
      </c>
      <c r="M542" s="4">
        <v>2527</v>
      </c>
      <c r="Q542" s="1" t="s">
        <v>42</v>
      </c>
      <c r="S542" s="1" t="s">
        <v>42</v>
      </c>
      <c r="T542" s="1" t="s">
        <v>153</v>
      </c>
      <c r="V542" s="5">
        <v>42838</v>
      </c>
      <c r="AA542" s="1">
        <v>12168087.5</v>
      </c>
      <c r="AB542" s="1" t="s">
        <v>443</v>
      </c>
      <c r="AC542" s="5">
        <v>42831</v>
      </c>
      <c r="AF542" s="1">
        <v>10010</v>
      </c>
      <c r="AI542" s="1" t="s">
        <v>45</v>
      </c>
      <c r="AJ542" s="1">
        <v>1915</v>
      </c>
      <c r="AK542" s="1" t="s">
        <v>46</v>
      </c>
      <c r="AL542" s="1">
        <v>125</v>
      </c>
    </row>
    <row r="543" spans="1:38" x14ac:dyDescent="0.2">
      <c r="A543" s="2" t="str">
        <f>HYPERLINK("https://www.compass.com/listing/160-east-22nd-street-unit-8b-manhattan-ny-10010/29378183203685953/","160 E 22nd St, Unit 8B")</f>
        <v>160 E 22nd St, Unit 8B</v>
      </c>
      <c r="B543" s="2" t="str">
        <f>HYPERLINK("https://www.compass.com/building/160-e-22nd-st-manhattan-ny-10010/292796862321154661/","160 E 22nd St")</f>
        <v>160 E 22nd St</v>
      </c>
      <c r="C543" s="1" t="s">
        <v>54</v>
      </c>
      <c r="D543" s="1" t="s">
        <v>41</v>
      </c>
      <c r="E543" s="3">
        <v>1525000</v>
      </c>
      <c r="F543" s="1">
        <v>2112.1883656509599</v>
      </c>
      <c r="G543" s="1">
        <v>3</v>
      </c>
      <c r="H543" s="1">
        <v>1</v>
      </c>
      <c r="I543" s="1">
        <v>1</v>
      </c>
      <c r="J543" s="1">
        <v>1</v>
      </c>
      <c r="M543" s="1">
        <v>722</v>
      </c>
      <c r="N543" s="1">
        <v>754</v>
      </c>
      <c r="O543" s="1">
        <v>1540</v>
      </c>
      <c r="P543" s="1">
        <v>786</v>
      </c>
      <c r="Q543" s="1" t="s">
        <v>42</v>
      </c>
      <c r="S543" s="1" t="s">
        <v>42</v>
      </c>
      <c r="T543" s="1" t="s">
        <v>153</v>
      </c>
      <c r="U543" s="1">
        <v>100</v>
      </c>
      <c r="V543" s="5">
        <v>43209</v>
      </c>
      <c r="W543" s="5">
        <v>42800</v>
      </c>
      <c r="X543" s="1">
        <v>1695000</v>
      </c>
      <c r="Y543" s="1">
        <v>1649000</v>
      </c>
      <c r="AA543" s="1">
        <v>1525000</v>
      </c>
      <c r="AB543" s="1" t="s">
        <v>444</v>
      </c>
      <c r="AC543" s="5">
        <v>43172</v>
      </c>
      <c r="AF543" s="1">
        <v>10010</v>
      </c>
      <c r="AI543" s="1" t="s">
        <v>437</v>
      </c>
      <c r="AJ543" s="1">
        <v>2012</v>
      </c>
      <c r="AK543" s="1" t="s">
        <v>46</v>
      </c>
      <c r="AL543" s="1">
        <v>81</v>
      </c>
    </row>
    <row r="544" spans="1:38" x14ac:dyDescent="0.2">
      <c r="A544" s="2" t="str">
        <f>HYPERLINK("https://www.compass.com/listing/21-west-20th-street-unit-4-manhattan-ny-10011/29374662773434305/","21 W 20th St, Unit 4")</f>
        <v>21 W 20th St, Unit 4</v>
      </c>
      <c r="B544" s="2" t="str">
        <f t="shared" ref="B544:B546" si="82">HYPERLINK("https://www.compass.com/building/21w20-manhattan-ny/281906757389799461/","21W20")</f>
        <v>21W20</v>
      </c>
      <c r="C544" s="1" t="s">
        <v>56</v>
      </c>
      <c r="D544" s="1" t="s">
        <v>41</v>
      </c>
      <c r="E544" s="3">
        <v>2765003</v>
      </c>
      <c r="F544" s="1">
        <v>2123.6578341013801</v>
      </c>
      <c r="G544" s="1">
        <v>3.5</v>
      </c>
      <c r="H544" s="1">
        <v>2</v>
      </c>
      <c r="I544" s="1">
        <v>2</v>
      </c>
      <c r="J544" s="1">
        <v>2</v>
      </c>
      <c r="M544" s="4">
        <v>1302</v>
      </c>
      <c r="N544" s="1">
        <v>1820</v>
      </c>
      <c r="O544" s="1">
        <v>2212</v>
      </c>
      <c r="P544" s="1">
        <v>392</v>
      </c>
      <c r="Q544" s="1" t="s">
        <v>42</v>
      </c>
      <c r="S544" s="1" t="s">
        <v>42</v>
      </c>
      <c r="T544" s="1" t="s">
        <v>153</v>
      </c>
      <c r="U544" s="1">
        <v>249</v>
      </c>
      <c r="V544" s="5">
        <v>42879</v>
      </c>
      <c r="W544" s="5">
        <v>41600</v>
      </c>
      <c r="X544" s="1">
        <v>15000</v>
      </c>
      <c r="Y544" s="1">
        <v>15000</v>
      </c>
      <c r="Z544" s="5">
        <v>41850</v>
      </c>
      <c r="AA544" s="1">
        <v>2765002.5</v>
      </c>
      <c r="AB544" s="1" t="s">
        <v>445</v>
      </c>
      <c r="AC544" s="5">
        <v>42473</v>
      </c>
      <c r="AF544" s="1">
        <v>10011</v>
      </c>
      <c r="AI544" s="1" t="s">
        <v>81</v>
      </c>
      <c r="AJ544" s="1">
        <v>2016</v>
      </c>
      <c r="AK544" s="1" t="s">
        <v>49</v>
      </c>
      <c r="AL544" s="1">
        <v>13</v>
      </c>
    </row>
    <row r="545" spans="1:38" x14ac:dyDescent="0.2">
      <c r="A545" s="2" t="str">
        <f>HYPERLINK("https://www.compass.com/listing/21-west-20th-street-unit-6-manhattan-ny-10011/29374663645848481/","21 W 20th St, Unit 6")</f>
        <v>21 W 20th St, Unit 6</v>
      </c>
      <c r="B545" s="2" t="str">
        <f t="shared" si="82"/>
        <v>21W20</v>
      </c>
      <c r="C545" s="1" t="s">
        <v>56</v>
      </c>
      <c r="D545" s="1" t="s">
        <v>41</v>
      </c>
      <c r="E545" s="3">
        <v>2874215</v>
      </c>
      <c r="F545" s="1">
        <v>2207.5384024577502</v>
      </c>
      <c r="G545" s="1">
        <v>3.5</v>
      </c>
      <c r="H545" s="1">
        <v>2</v>
      </c>
      <c r="I545" s="1">
        <v>2</v>
      </c>
      <c r="J545" s="1">
        <v>2</v>
      </c>
      <c r="M545" s="4">
        <v>1302</v>
      </c>
      <c r="N545" s="1">
        <v>1864</v>
      </c>
      <c r="O545" s="1">
        <v>2266</v>
      </c>
      <c r="P545" s="1">
        <v>402</v>
      </c>
      <c r="Q545" s="1" t="s">
        <v>42</v>
      </c>
      <c r="S545" s="1" t="s">
        <v>42</v>
      </c>
      <c r="T545" s="1" t="s">
        <v>153</v>
      </c>
      <c r="V545" s="5">
        <v>43678</v>
      </c>
      <c r="W545" s="5">
        <v>41754</v>
      </c>
      <c r="X545" s="1">
        <v>2820000</v>
      </c>
      <c r="Y545" s="1">
        <v>2820000</v>
      </c>
      <c r="Z545" s="5">
        <v>42340</v>
      </c>
      <c r="AA545" s="1">
        <v>2874215</v>
      </c>
      <c r="AB545" s="1" t="s">
        <v>446</v>
      </c>
      <c r="AC545" s="5">
        <v>42475</v>
      </c>
      <c r="AF545" s="1">
        <v>10011</v>
      </c>
      <c r="AI545" s="1" t="s">
        <v>81</v>
      </c>
      <c r="AJ545" s="1">
        <v>2016</v>
      </c>
      <c r="AK545" s="1" t="s">
        <v>49</v>
      </c>
      <c r="AL545" s="1">
        <v>13</v>
      </c>
    </row>
    <row r="546" spans="1:38" x14ac:dyDescent="0.2">
      <c r="A546" s="2" t="str">
        <f>HYPERLINK("https://www.compass.com/listing/21-west-20th-street-unit-3-manhattan-ny-10011/29513499386355393/","21 W 20th St, Unit 3")</f>
        <v>21 W 20th St, Unit 3</v>
      </c>
      <c r="B546" s="2" t="str">
        <f t="shared" si="82"/>
        <v>21W20</v>
      </c>
      <c r="C546" s="1" t="s">
        <v>56</v>
      </c>
      <c r="D546" s="1" t="s">
        <v>41</v>
      </c>
      <c r="E546" s="3">
        <v>2726569</v>
      </c>
      <c r="F546" s="1">
        <v>2094.1390168970802</v>
      </c>
      <c r="G546" s="1">
        <v>5</v>
      </c>
      <c r="H546" s="1">
        <v>2</v>
      </c>
      <c r="I546" s="1">
        <v>2</v>
      </c>
      <c r="J546" s="1">
        <v>2</v>
      </c>
      <c r="M546" s="4">
        <v>1302</v>
      </c>
      <c r="N546" s="1">
        <v>1783</v>
      </c>
      <c r="O546" s="1">
        <v>2167</v>
      </c>
      <c r="P546" s="1">
        <v>384</v>
      </c>
      <c r="Q546" s="1" t="s">
        <v>42</v>
      </c>
      <c r="S546" s="1" t="s">
        <v>42</v>
      </c>
      <c r="T546" s="1" t="s">
        <v>153</v>
      </c>
      <c r="U546" s="1">
        <v>82</v>
      </c>
      <c r="V546" s="5">
        <v>43677</v>
      </c>
      <c r="W546" s="5">
        <v>41726</v>
      </c>
      <c r="X546" s="1">
        <v>2625000</v>
      </c>
      <c r="Y546" s="1">
        <v>2675000</v>
      </c>
      <c r="Z546" s="5">
        <v>42340</v>
      </c>
      <c r="AA546" s="1">
        <v>2726569</v>
      </c>
      <c r="AB546" s="1" t="s">
        <v>447</v>
      </c>
      <c r="AC546" s="5">
        <v>42466</v>
      </c>
      <c r="AF546" s="1">
        <v>10011</v>
      </c>
      <c r="AI546" s="1" t="s">
        <v>81</v>
      </c>
      <c r="AJ546" s="1">
        <v>2016</v>
      </c>
      <c r="AK546" s="1" t="s">
        <v>49</v>
      </c>
      <c r="AL546" s="1">
        <v>13</v>
      </c>
    </row>
    <row r="547" spans="1:38" x14ac:dyDescent="0.2">
      <c r="A547" s="2" t="str">
        <f>HYPERLINK("https://www.compass.com/listing/160-east-22nd-street-unit-9b-manhattan-ny-10010/548587923388721553/","160 E 22nd St, Unit 9B")</f>
        <v>160 E 22nd St, Unit 9B</v>
      </c>
      <c r="B547" s="2" t="str">
        <f t="shared" ref="B547:B549" si="83">HYPERLINK("https://www.compass.com/building/160-e-22nd-st-manhattan-ny-10010/292796862321154661/","160 E 22nd St")</f>
        <v>160 E 22nd St</v>
      </c>
      <c r="C547" s="1" t="s">
        <v>54</v>
      </c>
      <c r="D547" s="1" t="s">
        <v>41</v>
      </c>
      <c r="E547" s="3">
        <v>1265000</v>
      </c>
      <c r="F547" s="1">
        <v>1752.0775623268601</v>
      </c>
      <c r="G547" s="1">
        <v>3</v>
      </c>
      <c r="H547" s="1">
        <v>1</v>
      </c>
      <c r="I547" s="1">
        <v>1</v>
      </c>
      <c r="J547" s="1">
        <v>1</v>
      </c>
      <c r="K547" s="1">
        <v>1</v>
      </c>
      <c r="M547" s="1">
        <v>722</v>
      </c>
      <c r="N547" s="1">
        <v>838</v>
      </c>
      <c r="O547" s="1">
        <v>1965</v>
      </c>
      <c r="P547" s="1">
        <v>1127</v>
      </c>
      <c r="Q547" s="1" t="s">
        <v>42</v>
      </c>
      <c r="S547" s="1" t="s">
        <v>42</v>
      </c>
      <c r="T547" s="1" t="s">
        <v>153</v>
      </c>
      <c r="U547" s="1">
        <v>132</v>
      </c>
      <c r="V547" s="5">
        <v>44170</v>
      </c>
      <c r="W547" s="5">
        <v>44008</v>
      </c>
      <c r="X547" s="1">
        <v>1400000</v>
      </c>
      <c r="Y547" s="1">
        <v>1340000</v>
      </c>
      <c r="Z547" s="5">
        <v>44141</v>
      </c>
      <c r="AA547" s="1">
        <v>1265000</v>
      </c>
      <c r="AB547" s="1" t="s">
        <v>448</v>
      </c>
      <c r="AC547" s="5">
        <v>44166</v>
      </c>
      <c r="AF547" s="1">
        <v>10010</v>
      </c>
      <c r="AI547" s="1" t="s">
        <v>87</v>
      </c>
      <c r="AJ547" s="1">
        <v>2012</v>
      </c>
      <c r="AK547" s="1" t="s">
        <v>46</v>
      </c>
      <c r="AL547" s="1">
        <v>81</v>
      </c>
    </row>
    <row r="548" spans="1:38" x14ac:dyDescent="0.2">
      <c r="A548" s="2" t="str">
        <f>HYPERLINK("https://www.compass.com/listing/160-east-22nd-street-unit-6a-manhattan-ny-10010/204308177993409281/","160 E 22nd St, Unit 6A")</f>
        <v>160 E 22nd St, Unit 6A</v>
      </c>
      <c r="B548" s="2" t="str">
        <f t="shared" si="83"/>
        <v>160 E 22nd St</v>
      </c>
      <c r="C548" s="1" t="s">
        <v>54</v>
      </c>
      <c r="D548" s="1" t="s">
        <v>41</v>
      </c>
      <c r="E548" s="3">
        <v>1675000</v>
      </c>
      <c r="F548" s="1">
        <v>1940.9038238702201</v>
      </c>
      <c r="G548" s="1">
        <v>2</v>
      </c>
      <c r="H548" s="1">
        <v>1</v>
      </c>
      <c r="J548" s="1">
        <v>1</v>
      </c>
      <c r="M548" s="1">
        <v>863</v>
      </c>
      <c r="N548" s="1">
        <v>920</v>
      </c>
      <c r="O548" s="1">
        <v>2187</v>
      </c>
      <c r="P548" s="1">
        <v>1267</v>
      </c>
      <c r="S548" s="1" t="s">
        <v>42</v>
      </c>
      <c r="T548" s="1" t="s">
        <v>153</v>
      </c>
      <c r="U548" s="1">
        <v>54</v>
      </c>
      <c r="V548" s="5">
        <v>43699</v>
      </c>
      <c r="W548" s="5">
        <v>43534</v>
      </c>
      <c r="X548" s="1">
        <v>1699999</v>
      </c>
      <c r="Y548" s="1">
        <v>1699999</v>
      </c>
      <c r="Z548" s="5">
        <v>43588</v>
      </c>
      <c r="AA548" s="1">
        <v>1675000</v>
      </c>
      <c r="AB548" s="1" t="s">
        <v>177</v>
      </c>
      <c r="AC548" s="5">
        <v>43607</v>
      </c>
      <c r="AF548" s="1">
        <v>10010</v>
      </c>
      <c r="AI548" s="1" t="s">
        <v>55</v>
      </c>
      <c r="AJ548" s="1">
        <v>2012</v>
      </c>
      <c r="AK548" s="1" t="s">
        <v>46</v>
      </c>
      <c r="AL548" s="1">
        <v>81</v>
      </c>
    </row>
    <row r="549" spans="1:38" x14ac:dyDescent="0.2">
      <c r="A549" s="2" t="str">
        <f>HYPERLINK("https://www.compass.com/listing/160-east-22nd-street-unit-8b-manhattan-ny-10010/803342549892753713/","160 E 22nd St, Unit 8B")</f>
        <v>160 E 22nd St, Unit 8B</v>
      </c>
      <c r="B549" s="2" t="str">
        <f t="shared" si="83"/>
        <v>160 E 22nd St</v>
      </c>
      <c r="C549" s="1" t="s">
        <v>54</v>
      </c>
      <c r="D549" s="1" t="s">
        <v>41</v>
      </c>
      <c r="E549" s="3">
        <v>1525000</v>
      </c>
      <c r="F549" s="1">
        <v>2112.1883656509599</v>
      </c>
      <c r="G549" s="1">
        <v>3</v>
      </c>
      <c r="H549" s="1">
        <v>1</v>
      </c>
      <c r="I549" s="1">
        <v>1</v>
      </c>
      <c r="J549" s="1">
        <v>1</v>
      </c>
      <c r="M549" s="1">
        <v>722</v>
      </c>
      <c r="N549" s="1">
        <v>754</v>
      </c>
      <c r="O549" s="1">
        <v>1540</v>
      </c>
      <c r="P549" s="1">
        <v>786</v>
      </c>
      <c r="Q549" s="1" t="s">
        <v>42</v>
      </c>
      <c r="S549" s="1" t="s">
        <v>42</v>
      </c>
      <c r="T549" s="1" t="s">
        <v>153</v>
      </c>
      <c r="U549" s="1">
        <v>142</v>
      </c>
      <c r="V549" s="5">
        <v>43174</v>
      </c>
      <c r="W549" s="5">
        <v>42996</v>
      </c>
      <c r="X549" s="1">
        <v>1649000</v>
      </c>
      <c r="Y549" s="1">
        <v>1580000</v>
      </c>
      <c r="Z549" s="5">
        <v>43139</v>
      </c>
      <c r="AA549" s="1">
        <v>1525000</v>
      </c>
      <c r="AB549" s="1" t="s">
        <v>444</v>
      </c>
      <c r="AC549" s="5">
        <v>43172</v>
      </c>
      <c r="AF549" s="1">
        <v>10010</v>
      </c>
      <c r="AI549" s="1" t="s">
        <v>55</v>
      </c>
      <c r="AJ549" s="1">
        <v>2012</v>
      </c>
      <c r="AK549" s="1" t="s">
        <v>46</v>
      </c>
      <c r="AL549" s="1">
        <v>81</v>
      </c>
    </row>
    <row r="550" spans="1:38" x14ac:dyDescent="0.2">
      <c r="A550" s="2" t="str">
        <f>HYPERLINK("https://www.compass.com/listing/160-west-12th-street-unit-ph-north-manhattan-ny-10011/192574520874337009/","160 W 12th St, Unit PH NORTH")</f>
        <v>160 W 12th St, Unit PH NORTH</v>
      </c>
      <c r="B550" s="2" t="str">
        <f t="shared" ref="B550:B551" si="84">HYPERLINK("https://www.compass.com/building/the-greenwich-lane-manhattan-ny/282059161326355877/","The Greenwich Lane")</f>
        <v>The Greenwich Lane</v>
      </c>
      <c r="C550" s="1" t="s">
        <v>40</v>
      </c>
      <c r="D550" s="1" t="s">
        <v>41</v>
      </c>
      <c r="E550" s="3">
        <v>33641696</v>
      </c>
      <c r="F550" s="1">
        <v>6608.0722844234897</v>
      </c>
      <c r="G550" s="1">
        <v>9</v>
      </c>
      <c r="H550" s="1">
        <v>4</v>
      </c>
      <c r="I550" s="1">
        <v>4</v>
      </c>
      <c r="J550" s="1">
        <v>4</v>
      </c>
      <c r="K550" s="1">
        <v>4</v>
      </c>
      <c r="M550" s="4">
        <v>5091</v>
      </c>
      <c r="N550" s="1">
        <v>10525</v>
      </c>
      <c r="O550" s="1">
        <v>22878</v>
      </c>
      <c r="P550" s="1">
        <v>12353</v>
      </c>
      <c r="Q550" s="1" t="s">
        <v>42</v>
      </c>
      <c r="S550" s="1" t="s">
        <v>42</v>
      </c>
      <c r="T550" s="1" t="s">
        <v>153</v>
      </c>
      <c r="U550" s="1">
        <v>1</v>
      </c>
      <c r="V550" s="5">
        <v>43675</v>
      </c>
      <c r="W550" s="5">
        <v>42061</v>
      </c>
      <c r="X550" s="1">
        <v>33000000</v>
      </c>
      <c r="Y550" s="1">
        <v>33000000</v>
      </c>
      <c r="Z550" s="5">
        <v>42062</v>
      </c>
      <c r="AA550" s="1">
        <v>33641696</v>
      </c>
      <c r="AB550" s="1" t="s">
        <v>177</v>
      </c>
      <c r="AC550" s="5">
        <v>42634</v>
      </c>
      <c r="AF550" s="1">
        <v>10011</v>
      </c>
      <c r="AI550" s="1" t="s">
        <v>233</v>
      </c>
      <c r="AJ550" s="1">
        <v>2016</v>
      </c>
      <c r="AK550" s="1" t="s">
        <v>46</v>
      </c>
      <c r="AL550" s="1">
        <v>57</v>
      </c>
    </row>
    <row r="551" spans="1:38" x14ac:dyDescent="0.2">
      <c r="A551" s="2" t="str">
        <f>HYPERLINK("https://www.compass.com/listing/160-west-12th-street-unit-34-manhattan-ny-10011/4852265651273734305/","160 W 12th St, Unit 34")</f>
        <v>160 W 12th St, Unit 34</v>
      </c>
      <c r="B551" s="2" t="str">
        <f t="shared" si="84"/>
        <v>The Greenwich Lane</v>
      </c>
      <c r="C551" s="1" t="s">
        <v>40</v>
      </c>
      <c r="D551" s="1" t="s">
        <v>41</v>
      </c>
      <c r="E551" s="3">
        <v>7726014</v>
      </c>
      <c r="F551" s="1">
        <v>2741.6657203690502</v>
      </c>
      <c r="G551" s="1">
        <v>6</v>
      </c>
      <c r="H551" s="1">
        <v>4</v>
      </c>
      <c r="I551" s="1">
        <v>4</v>
      </c>
      <c r="J551" s="1">
        <v>4.5</v>
      </c>
      <c r="K551" s="1">
        <v>4</v>
      </c>
      <c r="L551" s="1">
        <v>1</v>
      </c>
      <c r="M551" s="4">
        <v>2818</v>
      </c>
      <c r="N551" s="1">
        <v>4876</v>
      </c>
      <c r="O551" s="1">
        <v>9655</v>
      </c>
      <c r="P551" s="1">
        <v>4779</v>
      </c>
      <c r="Q551" s="1" t="s">
        <v>42</v>
      </c>
      <c r="S551" s="1" t="s">
        <v>42</v>
      </c>
      <c r="T551" s="1" t="s">
        <v>153</v>
      </c>
      <c r="V551" s="5">
        <v>43631</v>
      </c>
      <c r="W551" s="5">
        <v>41627</v>
      </c>
      <c r="X551" s="1">
        <v>7770000</v>
      </c>
      <c r="Y551" s="1">
        <v>7770000</v>
      </c>
      <c r="Z551" s="5">
        <v>41627</v>
      </c>
      <c r="AA551" s="1">
        <v>7726014</v>
      </c>
      <c r="AB551" s="1" t="s">
        <v>449</v>
      </c>
      <c r="AC551" s="5">
        <v>42462</v>
      </c>
      <c r="AF551" s="1">
        <v>10011</v>
      </c>
      <c r="AI551" s="1" t="s">
        <v>428</v>
      </c>
      <c r="AJ551" s="1">
        <v>2016</v>
      </c>
      <c r="AK551" s="1" t="s">
        <v>46</v>
      </c>
      <c r="AL551" s="1">
        <v>57</v>
      </c>
    </row>
    <row r="552" spans="1:38" x14ac:dyDescent="0.2">
      <c r="A552" s="2" t="str">
        <f>HYPERLINK("https://www.compass.com/listing/21-west-20th-street-unit-8-manhattan-ny-10011/29374664627260417/","21 W 20th St, Unit 8")</f>
        <v>21 W 20th St, Unit 8</v>
      </c>
      <c r="B552" s="2" t="str">
        <f t="shared" ref="B552:B553" si="85">HYPERLINK("https://www.compass.com/building/21w20-manhattan-ny/281906757389799461/","21W20")</f>
        <v>21W20</v>
      </c>
      <c r="C552" s="1" t="s">
        <v>56</v>
      </c>
      <c r="D552" s="1" t="s">
        <v>41</v>
      </c>
      <c r="E552" s="3">
        <v>3098230</v>
      </c>
      <c r="F552" s="1">
        <v>2379.5929339477698</v>
      </c>
      <c r="G552" s="1">
        <v>3.5</v>
      </c>
      <c r="H552" s="1">
        <v>2</v>
      </c>
      <c r="I552" s="1">
        <v>2</v>
      </c>
      <c r="J552" s="1">
        <v>2</v>
      </c>
      <c r="M552" s="4">
        <v>1302</v>
      </c>
      <c r="N552" s="1">
        <v>1893</v>
      </c>
      <c r="O552" s="1">
        <v>2301</v>
      </c>
      <c r="P552" s="1">
        <v>408</v>
      </c>
      <c r="Q552" s="1" t="s">
        <v>42</v>
      </c>
      <c r="S552" s="1" t="s">
        <v>42</v>
      </c>
      <c r="T552" s="1" t="s">
        <v>153</v>
      </c>
      <c r="U552" s="1">
        <v>62</v>
      </c>
      <c r="V552" s="5">
        <v>42879</v>
      </c>
      <c r="W552" s="5">
        <v>41852</v>
      </c>
      <c r="X552" s="1">
        <v>3040000</v>
      </c>
      <c r="Y552" s="1">
        <v>3040000</v>
      </c>
      <c r="Z552" s="5">
        <v>41915</v>
      </c>
      <c r="AA552" s="1">
        <v>3098230</v>
      </c>
      <c r="AB552" s="1" t="s">
        <v>450</v>
      </c>
      <c r="AC552" s="5">
        <v>42499</v>
      </c>
      <c r="AF552" s="1">
        <v>10011</v>
      </c>
      <c r="AI552" s="1" t="s">
        <v>81</v>
      </c>
      <c r="AJ552" s="1">
        <v>2016</v>
      </c>
      <c r="AK552" s="1" t="s">
        <v>49</v>
      </c>
      <c r="AL552" s="1">
        <v>13</v>
      </c>
    </row>
    <row r="553" spans="1:38" x14ac:dyDescent="0.2">
      <c r="A553" s="2" t="str">
        <f>HYPERLINK("https://www.compass.com/listing/21-west-20th-street-unit-9-manhattan-ny-10011/29374665013191601/","21 W 20th St, Unit 9")</f>
        <v>21 W 20th St, Unit 9</v>
      </c>
      <c r="B553" s="2" t="str">
        <f t="shared" si="85"/>
        <v>21W20</v>
      </c>
      <c r="C553" s="1" t="s">
        <v>56</v>
      </c>
      <c r="D553" s="1" t="s">
        <v>41</v>
      </c>
      <c r="E553" s="3">
        <v>3136083</v>
      </c>
      <c r="F553" s="1">
        <v>2408.6658986175098</v>
      </c>
      <c r="G553" s="1">
        <v>3.5</v>
      </c>
      <c r="H553" s="1">
        <v>2</v>
      </c>
      <c r="I553" s="1">
        <v>2</v>
      </c>
      <c r="J553" s="1">
        <v>2</v>
      </c>
      <c r="M553" s="4">
        <v>1302</v>
      </c>
      <c r="N553" s="1">
        <v>1926</v>
      </c>
      <c r="O553" s="1">
        <v>2341</v>
      </c>
      <c r="P553" s="1">
        <v>415</v>
      </c>
      <c r="Q553" s="1" t="s">
        <v>42</v>
      </c>
      <c r="S553" s="1" t="s">
        <v>42</v>
      </c>
      <c r="T553" s="1" t="s">
        <v>153</v>
      </c>
      <c r="V553" s="5">
        <v>43678</v>
      </c>
      <c r="W553" s="5">
        <v>41900</v>
      </c>
      <c r="X553" s="1">
        <v>3105000</v>
      </c>
      <c r="Y553" s="1">
        <v>3105000</v>
      </c>
      <c r="Z553" s="5">
        <v>42340</v>
      </c>
      <c r="AA553" s="1">
        <v>3136083</v>
      </c>
      <c r="AB553" s="1" t="s">
        <v>451</v>
      </c>
      <c r="AC553" s="5">
        <v>42473</v>
      </c>
      <c r="AF553" s="1">
        <v>10011</v>
      </c>
      <c r="AI553" s="1" t="s">
        <v>81</v>
      </c>
      <c r="AJ553" s="1">
        <v>2016</v>
      </c>
      <c r="AK553" s="1" t="s">
        <v>49</v>
      </c>
      <c r="AL553" s="1">
        <v>13</v>
      </c>
    </row>
    <row r="554" spans="1:38" x14ac:dyDescent="0.2">
      <c r="A554" s="2" t="str">
        <f>HYPERLINK("https://www.compass.com/listing/160-east-22nd-street-unit-14b-manhattan-ny-10010/29378193580388289/","160 E 22nd St, Unit 14B")</f>
        <v>160 E 22nd St, Unit 14B</v>
      </c>
      <c r="B554" s="2" t="str">
        <f t="shared" ref="B554:B556" si="86">HYPERLINK("https://www.compass.com/building/160-e-22nd-st-manhattan-ny-10010/292796862321154661/","160 E 22nd St")</f>
        <v>160 E 22nd St</v>
      </c>
      <c r="C554" s="1" t="s">
        <v>54</v>
      </c>
      <c r="D554" s="1" t="s">
        <v>41</v>
      </c>
      <c r="E554" s="3">
        <v>1530000</v>
      </c>
      <c r="F554" s="1">
        <v>2119.1135734072</v>
      </c>
      <c r="G554" s="1">
        <v>3</v>
      </c>
      <c r="H554" s="1">
        <v>1</v>
      </c>
      <c r="I554" s="1">
        <v>1</v>
      </c>
      <c r="J554" s="1">
        <v>1</v>
      </c>
      <c r="M554" s="1">
        <v>722</v>
      </c>
      <c r="N554" s="1">
        <v>757</v>
      </c>
      <c r="O554" s="1">
        <v>1547</v>
      </c>
      <c r="P554" s="1">
        <v>790</v>
      </c>
      <c r="Q554" s="1" t="s">
        <v>42</v>
      </c>
      <c r="S554" s="1" t="s">
        <v>42</v>
      </c>
      <c r="T554" s="1" t="s">
        <v>153</v>
      </c>
      <c r="U554" s="1">
        <v>31</v>
      </c>
      <c r="V554" s="5">
        <v>43633</v>
      </c>
      <c r="W554" s="5">
        <v>43054</v>
      </c>
      <c r="X554" s="1">
        <v>1625000</v>
      </c>
      <c r="Y554" s="1">
        <v>1625000</v>
      </c>
      <c r="Z554" s="5">
        <v>43085</v>
      </c>
      <c r="AA554" s="1">
        <v>1530000</v>
      </c>
      <c r="AB554" s="1" t="s">
        <v>452</v>
      </c>
      <c r="AC554" s="5">
        <v>43161</v>
      </c>
      <c r="AF554" s="1">
        <v>10010</v>
      </c>
      <c r="AI554" s="1" t="s">
        <v>87</v>
      </c>
      <c r="AJ554" s="1">
        <v>2012</v>
      </c>
      <c r="AK554" s="1" t="s">
        <v>46</v>
      </c>
      <c r="AL554" s="1">
        <v>81</v>
      </c>
    </row>
    <row r="555" spans="1:38" x14ac:dyDescent="0.2">
      <c r="A555" s="2" t="str">
        <f>HYPERLINK("https://www.compass.com/listing/160-east-22nd-street-unit-20a-manhattan-ny-10010/803305456013312153/","160 E 22nd St, Unit 20A")</f>
        <v>160 E 22nd St, Unit 20A</v>
      </c>
      <c r="B555" s="2" t="str">
        <f t="shared" si="86"/>
        <v>160 E 22nd St</v>
      </c>
      <c r="C555" s="1" t="s">
        <v>54</v>
      </c>
      <c r="D555" s="1" t="s">
        <v>41</v>
      </c>
      <c r="E555" s="3">
        <v>3300000</v>
      </c>
      <c r="G555" s="1">
        <v>4</v>
      </c>
      <c r="H555" s="1">
        <v>2</v>
      </c>
      <c r="I555" s="1">
        <v>2</v>
      </c>
      <c r="J555" s="1">
        <v>2</v>
      </c>
      <c r="N555" s="1">
        <v>1324</v>
      </c>
      <c r="O555" s="1">
        <v>1834</v>
      </c>
      <c r="P555" s="1">
        <v>510</v>
      </c>
      <c r="Q555" s="1" t="s">
        <v>42</v>
      </c>
      <c r="S555" s="1" t="s">
        <v>42</v>
      </c>
      <c r="T555" s="1" t="s">
        <v>153</v>
      </c>
      <c r="U555" s="1">
        <v>41</v>
      </c>
      <c r="V555" s="5">
        <v>42103</v>
      </c>
      <c r="W555" s="5">
        <v>42024</v>
      </c>
      <c r="X555" s="1">
        <v>3495000</v>
      </c>
      <c r="Y555" s="1">
        <v>3495000</v>
      </c>
      <c r="AA555" s="1">
        <v>3300000</v>
      </c>
      <c r="AB555" s="1" t="s">
        <v>433</v>
      </c>
      <c r="AC555" s="5">
        <v>42216</v>
      </c>
      <c r="AF555" s="1">
        <v>10010</v>
      </c>
      <c r="AI555" s="1" t="s">
        <v>434</v>
      </c>
      <c r="AJ555" s="1">
        <v>2012</v>
      </c>
      <c r="AK555" s="1" t="s">
        <v>49</v>
      </c>
      <c r="AL555" s="1">
        <v>81</v>
      </c>
    </row>
    <row r="556" spans="1:38" x14ac:dyDescent="0.2">
      <c r="A556" s="2" t="str">
        <f>HYPERLINK("https://www.compass.com/listing/160-east-22nd-street-unit-9c-manhattan-ny-10010/29378186198413025/","160 E 22nd St, Unit 9C")</f>
        <v>160 E 22nd St, Unit 9C</v>
      </c>
      <c r="B556" s="2" t="str">
        <f t="shared" si="86"/>
        <v>160 E 22nd St</v>
      </c>
      <c r="C556" s="1" t="s">
        <v>54</v>
      </c>
      <c r="D556" s="1" t="s">
        <v>41</v>
      </c>
      <c r="E556" s="3">
        <v>2425000</v>
      </c>
      <c r="F556" s="1">
        <v>2136.5638766519801</v>
      </c>
      <c r="G556" s="1">
        <v>4</v>
      </c>
      <c r="H556" s="1">
        <v>2</v>
      </c>
      <c r="I556" s="1">
        <v>2</v>
      </c>
      <c r="J556" s="1">
        <v>2</v>
      </c>
      <c r="M556" s="4">
        <v>1135</v>
      </c>
      <c r="N556" s="1">
        <v>1137</v>
      </c>
      <c r="O556" s="1">
        <v>2374</v>
      </c>
      <c r="P556" s="1">
        <v>1237</v>
      </c>
      <c r="Q556" s="1" t="s">
        <v>42</v>
      </c>
      <c r="S556" s="1" t="s">
        <v>42</v>
      </c>
      <c r="T556" s="1" t="s">
        <v>153</v>
      </c>
      <c r="U556" s="1">
        <v>26</v>
      </c>
      <c r="V556" s="5">
        <v>43664</v>
      </c>
      <c r="W556" s="5">
        <v>42775</v>
      </c>
      <c r="X556" s="1">
        <v>2450000</v>
      </c>
      <c r="Y556" s="1">
        <v>2450000</v>
      </c>
      <c r="Z556" s="5">
        <v>42801</v>
      </c>
      <c r="AA556" s="1">
        <v>2425000</v>
      </c>
      <c r="AB556" s="1" t="s">
        <v>453</v>
      </c>
      <c r="AC556" s="5">
        <v>42908</v>
      </c>
      <c r="AF556" s="1">
        <v>10010</v>
      </c>
      <c r="AI556" s="1" t="s">
        <v>87</v>
      </c>
      <c r="AJ556" s="1">
        <v>2012</v>
      </c>
      <c r="AK556" s="1" t="s">
        <v>46</v>
      </c>
      <c r="AL556" s="1">
        <v>81</v>
      </c>
    </row>
    <row r="557" spans="1:38" x14ac:dyDescent="0.2">
      <c r="A557" s="2" t="str">
        <f>HYPERLINK("https://www.compass.com/listing/160-west-12th-street-unit-55-manhattan-ny-10011/29367255531866305/","160 W 12th St, Unit 55")</f>
        <v>160 W 12th St, Unit 55</v>
      </c>
      <c r="B557" s="2" t="str">
        <f>HYPERLINK("https://www.compass.com/building/the-greenwich-lane-manhattan-ny/282059161326355877/","The Greenwich Lane")</f>
        <v>The Greenwich Lane</v>
      </c>
      <c r="C557" s="1" t="s">
        <v>40</v>
      </c>
      <c r="D557" s="1" t="s">
        <v>41</v>
      </c>
      <c r="E557" s="3">
        <v>2342531</v>
      </c>
      <c r="F557" s="1">
        <v>2623.2150055991001</v>
      </c>
      <c r="G557" s="1">
        <v>3</v>
      </c>
      <c r="H557" s="1">
        <v>1</v>
      </c>
      <c r="I557" s="1">
        <v>1</v>
      </c>
      <c r="J557" s="1">
        <v>1</v>
      </c>
      <c r="K557" s="1">
        <v>1</v>
      </c>
      <c r="M557" s="1">
        <v>893</v>
      </c>
      <c r="N557" s="1">
        <v>1541</v>
      </c>
      <c r="O557" s="1">
        <v>3051</v>
      </c>
      <c r="P557" s="1">
        <v>1510</v>
      </c>
      <c r="Q557" s="1" t="s">
        <v>42</v>
      </c>
      <c r="S557" s="1" t="s">
        <v>42</v>
      </c>
      <c r="T557" s="1" t="s">
        <v>153</v>
      </c>
      <c r="V557" s="5">
        <v>43642</v>
      </c>
      <c r="W557" s="5">
        <v>41812</v>
      </c>
      <c r="X557" s="1">
        <v>2295000</v>
      </c>
      <c r="Y557" s="1">
        <v>2295000</v>
      </c>
      <c r="Z557" s="5">
        <v>41812</v>
      </c>
      <c r="AA557" s="1">
        <v>2342531</v>
      </c>
      <c r="AB557" s="1" t="s">
        <v>454</v>
      </c>
      <c r="AC557" s="5">
        <v>42454</v>
      </c>
      <c r="AF557" s="1">
        <v>10011</v>
      </c>
      <c r="AI557" s="1" t="s">
        <v>45</v>
      </c>
      <c r="AJ557" s="1">
        <v>2016</v>
      </c>
      <c r="AK557" s="1" t="s">
        <v>46</v>
      </c>
      <c r="AL557" s="1">
        <v>57</v>
      </c>
    </row>
    <row r="558" spans="1:38" x14ac:dyDescent="0.2">
      <c r="A558" s="2" t="str">
        <f>HYPERLINK("https://www.compass.com/listing/160-east-22nd-street-unit-11e-manhattan-ny-10010/604828959747951489/","160 E 22nd St, Unit 11E")</f>
        <v>160 E 22nd St, Unit 11E</v>
      </c>
      <c r="B558" s="2" t="str">
        <f>HYPERLINK("https://www.compass.com/building/160-e-22nd-st-manhattan-ny-10010/292796862321154661/","160 E 22nd St")</f>
        <v>160 E 22nd St</v>
      </c>
      <c r="C558" s="1" t="s">
        <v>54</v>
      </c>
      <c r="D558" s="1" t="s">
        <v>41</v>
      </c>
      <c r="E558" s="3">
        <v>2600000</v>
      </c>
      <c r="F558" s="1">
        <v>1688.31168831168</v>
      </c>
      <c r="G558" s="1">
        <v>5</v>
      </c>
      <c r="H558" s="1">
        <v>3</v>
      </c>
      <c r="I558" s="1">
        <v>2</v>
      </c>
      <c r="J558" s="1">
        <v>2</v>
      </c>
      <c r="K558" s="1">
        <v>2</v>
      </c>
      <c r="M558" s="4">
        <v>1540</v>
      </c>
      <c r="N558" s="1">
        <v>1619</v>
      </c>
      <c r="O558" s="1">
        <v>3919</v>
      </c>
      <c r="P558" s="1">
        <v>2300</v>
      </c>
      <c r="Q558" s="1" t="s">
        <v>42</v>
      </c>
      <c r="S558" s="1" t="s">
        <v>42</v>
      </c>
      <c r="T558" s="1" t="s">
        <v>153</v>
      </c>
      <c r="U558" s="1">
        <v>66</v>
      </c>
      <c r="V558" s="5">
        <v>44267</v>
      </c>
      <c r="W558" s="5">
        <v>44085</v>
      </c>
      <c r="X558" s="1">
        <v>2650000</v>
      </c>
      <c r="Y558" s="1">
        <v>2650000</v>
      </c>
      <c r="Z558" s="5">
        <v>44151</v>
      </c>
      <c r="AA558" s="1">
        <v>2600000</v>
      </c>
      <c r="AB558" s="1" t="s">
        <v>455</v>
      </c>
      <c r="AC558" s="5">
        <v>44218</v>
      </c>
      <c r="AF558" s="1">
        <v>10010</v>
      </c>
      <c r="AI558" s="1" t="s">
        <v>456</v>
      </c>
      <c r="AJ558" s="1">
        <v>2012</v>
      </c>
      <c r="AK558" s="1" t="s">
        <v>49</v>
      </c>
      <c r="AL558" s="1">
        <v>81</v>
      </c>
    </row>
    <row r="559" spans="1:38" x14ac:dyDescent="0.2">
      <c r="A559" s="2" t="str">
        <f>HYPERLINK("https://www.compass.com/listing/160-west-12th-street-unit-ph2-manhattan-ny-10011/4852263684497484385/","160 W 12th St, Unit PH2")</f>
        <v>160 W 12th St, Unit PH2</v>
      </c>
      <c r="B559" s="2" t="str">
        <f>HYPERLINK("https://www.compass.com/building/the-greenwich-lane-manhattan-ny/282059161326355877/","The Greenwich Lane")</f>
        <v>The Greenwich Lane</v>
      </c>
      <c r="C559" s="1" t="s">
        <v>40</v>
      </c>
      <c r="D559" s="1" t="s">
        <v>41</v>
      </c>
      <c r="E559" s="3">
        <v>16376715</v>
      </c>
      <c r="F559" s="1">
        <v>4189.4896392939299</v>
      </c>
      <c r="G559" s="1">
        <v>6</v>
      </c>
      <c r="H559" s="1">
        <v>3</v>
      </c>
      <c r="I559" s="1">
        <v>3</v>
      </c>
      <c r="J559" s="1">
        <v>3</v>
      </c>
      <c r="K559" s="1">
        <v>3</v>
      </c>
      <c r="M559" s="4">
        <v>3909</v>
      </c>
      <c r="N559" s="1">
        <v>7424</v>
      </c>
      <c r="O559" s="1">
        <v>15965</v>
      </c>
      <c r="P559" s="1">
        <v>8541</v>
      </c>
      <c r="Q559" s="1" t="s">
        <v>42</v>
      </c>
      <c r="S559" s="1" t="s">
        <v>42</v>
      </c>
      <c r="T559" s="1" t="s">
        <v>153</v>
      </c>
      <c r="U559" s="1">
        <v>10</v>
      </c>
      <c r="V559" s="5">
        <v>43631</v>
      </c>
      <c r="W559" s="5">
        <v>42059</v>
      </c>
      <c r="X559" s="1">
        <v>16350000</v>
      </c>
      <c r="Y559" s="1">
        <v>16350000</v>
      </c>
      <c r="Z559" s="5">
        <v>42069</v>
      </c>
      <c r="AA559" s="1">
        <v>16376715</v>
      </c>
      <c r="AB559" s="1" t="s">
        <v>457</v>
      </c>
      <c r="AC559" s="5">
        <v>42714</v>
      </c>
      <c r="AF559" s="1">
        <v>10011</v>
      </c>
      <c r="AI559" s="1" t="s">
        <v>381</v>
      </c>
      <c r="AJ559" s="1">
        <v>2016</v>
      </c>
      <c r="AK559" s="1" t="s">
        <v>46</v>
      </c>
      <c r="AL559" s="1">
        <v>57</v>
      </c>
    </row>
    <row r="560" spans="1:38" x14ac:dyDescent="0.2">
      <c r="A560" s="2" t="str">
        <f>HYPERLINK("https://www.compass.com/listing/215-sullivan-street-unit-6b-manhattan-ny-10012/192573210397634977/","215 Sullivan St, Unit 6B")</f>
        <v>215 Sullivan St, Unit 6B</v>
      </c>
      <c r="B560" s="2" t="str">
        <f>HYPERLINK("https://www.compass.com/building/215-sullivan-st-manhattan-ny-10012/292810405493901557/","215 Sullivan St")</f>
        <v>215 Sullivan St</v>
      </c>
      <c r="C560" s="1" t="s">
        <v>159</v>
      </c>
      <c r="D560" s="1" t="s">
        <v>41</v>
      </c>
      <c r="E560" s="3">
        <v>3500000</v>
      </c>
      <c r="F560" s="1">
        <v>3384.9129593810399</v>
      </c>
      <c r="G560" s="1">
        <v>5</v>
      </c>
      <c r="H560" s="1">
        <v>1</v>
      </c>
      <c r="I560" s="1">
        <v>2</v>
      </c>
      <c r="J560" s="1">
        <v>1.5</v>
      </c>
      <c r="M560" s="4">
        <v>1034</v>
      </c>
      <c r="N560" s="1">
        <v>1811</v>
      </c>
      <c r="O560" s="1">
        <v>3767</v>
      </c>
      <c r="P560" s="1">
        <v>1956</v>
      </c>
      <c r="Q560" s="1" t="s">
        <v>42</v>
      </c>
      <c r="S560" s="1" t="s">
        <v>42</v>
      </c>
      <c r="T560" s="1" t="s">
        <v>153</v>
      </c>
      <c r="U560" s="1">
        <v>22</v>
      </c>
      <c r="V560" s="5">
        <v>43668</v>
      </c>
      <c r="W560" s="5">
        <v>41680</v>
      </c>
      <c r="X560" s="1">
        <v>3500000</v>
      </c>
      <c r="Y560" s="1">
        <v>3500000</v>
      </c>
      <c r="Z560" s="5">
        <v>41702</v>
      </c>
      <c r="AA560" s="1">
        <v>3500000</v>
      </c>
      <c r="AB560" s="1" t="s">
        <v>232</v>
      </c>
      <c r="AC560" s="5">
        <v>42452</v>
      </c>
      <c r="AF560" s="1">
        <v>10012</v>
      </c>
      <c r="AI560" s="1" t="s">
        <v>233</v>
      </c>
      <c r="AJ560" s="1">
        <v>2014</v>
      </c>
      <c r="AK560" s="1" t="s">
        <v>99</v>
      </c>
      <c r="AL560" s="1">
        <v>25</v>
      </c>
    </row>
    <row r="561" spans="1:38" x14ac:dyDescent="0.2">
      <c r="A561" s="2" t="str">
        <f>HYPERLINK("https://www.compass.com/listing/160-west-12th-street-unit-27-manhattan-ny-10011/29367248619694961/","160 W 12th St, Unit 27")</f>
        <v>160 W 12th St, Unit 27</v>
      </c>
      <c r="B561" s="2" t="str">
        <f t="shared" ref="B561:B562" si="87">HYPERLINK("https://www.compass.com/building/the-greenwich-lane-manhattan-ny/282059161326355877/","The Greenwich Lane")</f>
        <v>The Greenwich Lane</v>
      </c>
      <c r="C561" s="1" t="s">
        <v>40</v>
      </c>
      <c r="D561" s="1" t="s">
        <v>41</v>
      </c>
      <c r="E561" s="3">
        <v>4297735</v>
      </c>
      <c r="F561" s="1">
        <v>2455.8485714285698</v>
      </c>
      <c r="G561" s="1">
        <v>4</v>
      </c>
      <c r="H561" s="1">
        <v>2</v>
      </c>
      <c r="I561" s="1">
        <v>2</v>
      </c>
      <c r="J561" s="1">
        <v>2</v>
      </c>
      <c r="K561" s="1">
        <v>2</v>
      </c>
      <c r="M561" s="4">
        <v>1750</v>
      </c>
      <c r="N561" s="1">
        <v>2975</v>
      </c>
      <c r="O561" s="1">
        <v>5891</v>
      </c>
      <c r="P561" s="1">
        <v>2916</v>
      </c>
      <c r="Q561" s="1" t="s">
        <v>42</v>
      </c>
      <c r="S561" s="1" t="s">
        <v>42</v>
      </c>
      <c r="T561" s="1" t="s">
        <v>153</v>
      </c>
      <c r="U561" s="1">
        <v>1</v>
      </c>
      <c r="V561" s="5">
        <v>43638</v>
      </c>
      <c r="W561" s="5">
        <v>42053</v>
      </c>
      <c r="X561" s="1">
        <v>4210000</v>
      </c>
      <c r="Y561" s="1">
        <v>4210000</v>
      </c>
      <c r="Z561" s="5">
        <v>42054</v>
      </c>
      <c r="AA561" s="1">
        <v>4297735</v>
      </c>
      <c r="AB561" s="1" t="s">
        <v>458</v>
      </c>
      <c r="AC561" s="5">
        <v>42452</v>
      </c>
      <c r="AF561" s="1">
        <v>10011</v>
      </c>
      <c r="AI561" s="1" t="s">
        <v>45</v>
      </c>
      <c r="AJ561" s="1">
        <v>2016</v>
      </c>
      <c r="AK561" s="1" t="s">
        <v>46</v>
      </c>
      <c r="AL561" s="1">
        <v>57</v>
      </c>
    </row>
    <row r="562" spans="1:38" x14ac:dyDescent="0.2">
      <c r="A562" s="2" t="str">
        <f>HYPERLINK("https://www.compass.com/listing/160-west-12th-street-unit-37-manhattan-ny-10011/29367251371161585/","160 W 12th St, Unit 37")</f>
        <v>160 W 12th St, Unit 37</v>
      </c>
      <c r="B562" s="2" t="str">
        <f t="shared" si="87"/>
        <v>The Greenwich Lane</v>
      </c>
      <c r="C562" s="1" t="s">
        <v>40</v>
      </c>
      <c r="D562" s="1" t="s">
        <v>41</v>
      </c>
      <c r="E562" s="3">
        <v>4404674</v>
      </c>
      <c r="F562" s="1">
        <v>2524.16848137535</v>
      </c>
      <c r="G562" s="1">
        <v>4</v>
      </c>
      <c r="H562" s="1">
        <v>2</v>
      </c>
      <c r="I562" s="1">
        <v>2</v>
      </c>
      <c r="J562" s="1">
        <v>2</v>
      </c>
      <c r="K562" s="1">
        <v>2</v>
      </c>
      <c r="M562" s="4">
        <v>1745</v>
      </c>
      <c r="N562" s="1">
        <v>2981</v>
      </c>
      <c r="O562" s="1">
        <v>5903</v>
      </c>
      <c r="P562" s="1">
        <v>2922</v>
      </c>
      <c r="Q562" s="1" t="s">
        <v>42</v>
      </c>
      <c r="S562" s="1" t="s">
        <v>42</v>
      </c>
      <c r="T562" s="1" t="s">
        <v>153</v>
      </c>
      <c r="U562" s="1">
        <v>111</v>
      </c>
      <c r="V562" s="5">
        <v>43631</v>
      </c>
      <c r="W562" s="5">
        <v>41976</v>
      </c>
      <c r="X562" s="1">
        <v>4315000</v>
      </c>
      <c r="Y562" s="1">
        <v>4315000</v>
      </c>
      <c r="Z562" s="5">
        <v>42087</v>
      </c>
      <c r="AA562" s="1">
        <v>4404674</v>
      </c>
      <c r="AB562" s="1" t="s">
        <v>459</v>
      </c>
      <c r="AC562" s="5">
        <v>42431</v>
      </c>
      <c r="AF562" s="1">
        <v>10011</v>
      </c>
      <c r="AI562" s="1" t="s">
        <v>45</v>
      </c>
      <c r="AJ562" s="1">
        <v>2016</v>
      </c>
      <c r="AK562" s="1" t="s">
        <v>46</v>
      </c>
      <c r="AL562" s="1">
        <v>57</v>
      </c>
    </row>
    <row r="563" spans="1:38" x14ac:dyDescent="0.2">
      <c r="A563" s="2" t="str">
        <f>HYPERLINK("https://www.compass.com/listing/21-west-20th-street-unit-ph2-manhattan-ny-10011/4852273953143526481/","21 W 20th St, Unit PH2")</f>
        <v>21 W 20th St, Unit PH2</v>
      </c>
      <c r="B563" s="2" t="str">
        <f t="shared" ref="B563:B565" si="88">HYPERLINK("https://www.compass.com/building/21w20-manhattan-ny/281906757389799461/","21W20")</f>
        <v>21W20</v>
      </c>
      <c r="C563" s="1" t="s">
        <v>56</v>
      </c>
      <c r="D563" s="1" t="s">
        <v>41</v>
      </c>
      <c r="E563" s="3">
        <v>13965000</v>
      </c>
      <c r="F563" s="1">
        <v>2994.8530988633902</v>
      </c>
      <c r="G563" s="1">
        <v>10</v>
      </c>
      <c r="H563" s="1">
        <v>4</v>
      </c>
      <c r="I563" s="1">
        <v>5</v>
      </c>
      <c r="J563" s="1">
        <v>4.5</v>
      </c>
      <c r="M563" s="4">
        <v>4663</v>
      </c>
      <c r="N563" s="1">
        <v>9089</v>
      </c>
      <c r="O563" s="1">
        <v>11363</v>
      </c>
      <c r="P563" s="1">
        <v>2274</v>
      </c>
      <c r="Q563" s="1" t="s">
        <v>42</v>
      </c>
      <c r="S563" s="1" t="s">
        <v>42</v>
      </c>
      <c r="T563" s="1" t="s">
        <v>153</v>
      </c>
      <c r="U563" s="1">
        <v>161</v>
      </c>
      <c r="V563" s="5">
        <v>43662</v>
      </c>
      <c r="W563" s="5">
        <v>42517</v>
      </c>
      <c r="X563" s="1">
        <v>13965000</v>
      </c>
      <c r="Y563" s="1">
        <v>13965000</v>
      </c>
      <c r="Z563" s="5">
        <v>42678</v>
      </c>
      <c r="AA563" s="1">
        <v>13965000</v>
      </c>
      <c r="AB563" s="1" t="s">
        <v>177</v>
      </c>
      <c r="AC563" s="5">
        <v>42887</v>
      </c>
      <c r="AF563" s="1">
        <v>10011</v>
      </c>
      <c r="AI563" s="1" t="s">
        <v>460</v>
      </c>
      <c r="AJ563" s="1">
        <v>2016</v>
      </c>
      <c r="AK563" s="1" t="s">
        <v>49</v>
      </c>
      <c r="AL563" s="1">
        <v>13</v>
      </c>
    </row>
    <row r="564" spans="1:38" x14ac:dyDescent="0.2">
      <c r="A564" s="2" t="str">
        <f>HYPERLINK("https://www.compass.com/listing/21-west-20th-street-unit-ph2-manhattan-ny-10011/803338902785880465/","21 W 20th St, Unit PH2")</f>
        <v>21 W 20th St, Unit PH2</v>
      </c>
      <c r="B564" s="2" t="str">
        <f t="shared" si="88"/>
        <v>21W20</v>
      </c>
      <c r="C564" s="1" t="s">
        <v>56</v>
      </c>
      <c r="D564" s="1" t="s">
        <v>41</v>
      </c>
      <c r="E564" s="3">
        <v>13965000</v>
      </c>
      <c r="F564" s="1">
        <v>2994.8530988633902</v>
      </c>
      <c r="G564" s="1">
        <v>10</v>
      </c>
      <c r="H564" s="1">
        <v>4</v>
      </c>
      <c r="I564" s="1">
        <v>5</v>
      </c>
      <c r="J564" s="1">
        <v>4.5</v>
      </c>
      <c r="M564" s="4">
        <v>4663</v>
      </c>
      <c r="N564" s="1">
        <v>9089</v>
      </c>
      <c r="O564" s="1">
        <v>11363</v>
      </c>
      <c r="P564" s="1">
        <v>2274</v>
      </c>
      <c r="Q564" s="1" t="s">
        <v>42</v>
      </c>
      <c r="S564" s="1" t="s">
        <v>42</v>
      </c>
      <c r="T564" s="1" t="s">
        <v>153</v>
      </c>
      <c r="U564" s="1">
        <v>162</v>
      </c>
      <c r="V564" s="5">
        <v>42845</v>
      </c>
      <c r="W564" s="5">
        <v>42516</v>
      </c>
      <c r="X564" s="1">
        <v>13965000</v>
      </c>
      <c r="Y564" s="1">
        <v>13965000</v>
      </c>
      <c r="Z564" s="5">
        <v>42679</v>
      </c>
      <c r="AB564" s="1" t="s">
        <v>177</v>
      </c>
      <c r="AC564" s="5">
        <v>42747</v>
      </c>
      <c r="AF564" s="1">
        <v>10011</v>
      </c>
      <c r="AI564" s="1" t="s">
        <v>81</v>
      </c>
      <c r="AJ564" s="1">
        <v>2016</v>
      </c>
      <c r="AK564" s="1" t="s">
        <v>49</v>
      </c>
      <c r="AL564" s="1">
        <v>13</v>
      </c>
    </row>
    <row r="565" spans="1:38" x14ac:dyDescent="0.2">
      <c r="A565" s="2" t="str">
        <f>HYPERLINK("https://www.compass.com/listing/21-west-20th-street-unit-ph2-manhattan-ny-10011/803338902785880473/","21 W 20th St, Unit PH2")</f>
        <v>21 W 20th St, Unit PH2</v>
      </c>
      <c r="B565" s="2" t="str">
        <f t="shared" si="88"/>
        <v>21W20</v>
      </c>
      <c r="C565" s="1" t="s">
        <v>56</v>
      </c>
      <c r="D565" s="1" t="s">
        <v>41</v>
      </c>
      <c r="E565" s="3">
        <v>13965000</v>
      </c>
      <c r="F565" s="1">
        <v>2994.8530988633902</v>
      </c>
      <c r="G565" s="1">
        <v>10</v>
      </c>
      <c r="H565" s="1">
        <v>4</v>
      </c>
      <c r="I565" s="1">
        <v>5</v>
      </c>
      <c r="J565" s="1">
        <v>4.5</v>
      </c>
      <c r="M565" s="4">
        <v>4663</v>
      </c>
      <c r="N565" s="1">
        <v>8853</v>
      </c>
      <c r="O565" s="1">
        <v>11034</v>
      </c>
      <c r="P565" s="1">
        <v>2181</v>
      </c>
      <c r="Q565" s="1" t="s">
        <v>42</v>
      </c>
      <c r="S565" s="1" t="s">
        <v>42</v>
      </c>
      <c r="T565" s="1" t="s">
        <v>153</v>
      </c>
      <c r="U565" s="1">
        <v>279</v>
      </c>
      <c r="V565" s="5">
        <v>42494</v>
      </c>
      <c r="W565" s="5">
        <v>42124</v>
      </c>
      <c r="X565" s="1">
        <v>13965000</v>
      </c>
      <c r="Y565" s="1">
        <v>13965000</v>
      </c>
      <c r="AB565" s="1" t="s">
        <v>177</v>
      </c>
      <c r="AC565" s="5">
        <v>42494</v>
      </c>
      <c r="AF565" s="1">
        <v>10011</v>
      </c>
      <c r="AI565" s="1" t="s">
        <v>460</v>
      </c>
      <c r="AJ565" s="1">
        <v>2016</v>
      </c>
      <c r="AK565" s="1" t="s">
        <v>49</v>
      </c>
      <c r="AL565" s="1">
        <v>13</v>
      </c>
    </row>
    <row r="566" spans="1:38" x14ac:dyDescent="0.2">
      <c r="A566" s="2" t="str">
        <f>HYPERLINK("https://www.compass.com/listing/160-west-12th-street-unit-82-manhattan-ny-10011/29367262804831345/","160 W 12th St, Unit 82")</f>
        <v>160 W 12th St, Unit 82</v>
      </c>
      <c r="B566" s="2" t="str">
        <f>HYPERLINK("https://www.compass.com/building/the-greenwich-lane-manhattan-ny/282059161326355877/","The Greenwich Lane")</f>
        <v>The Greenwich Lane</v>
      </c>
      <c r="C566" s="1" t="s">
        <v>40</v>
      </c>
      <c r="D566" s="1" t="s">
        <v>41</v>
      </c>
      <c r="E566" s="3">
        <v>5852878</v>
      </c>
      <c r="F566" s="1">
        <v>2863.44324853228</v>
      </c>
      <c r="G566" s="1">
        <v>4.5</v>
      </c>
      <c r="H566" s="1">
        <v>2</v>
      </c>
      <c r="I566" s="1">
        <v>2</v>
      </c>
      <c r="J566" s="1">
        <v>2</v>
      </c>
      <c r="K566" s="1">
        <v>2</v>
      </c>
      <c r="M566" s="4">
        <v>2044</v>
      </c>
      <c r="N566" s="1">
        <v>3579</v>
      </c>
      <c r="O566" s="1">
        <v>7086</v>
      </c>
      <c r="P566" s="1">
        <v>3507</v>
      </c>
      <c r="Q566" s="1" t="s">
        <v>42</v>
      </c>
      <c r="S566" s="1" t="s">
        <v>42</v>
      </c>
      <c r="T566" s="1" t="s">
        <v>153</v>
      </c>
      <c r="V566" s="5">
        <v>43678</v>
      </c>
      <c r="W566" s="5">
        <v>42476</v>
      </c>
      <c r="X566" s="1">
        <v>5840000</v>
      </c>
      <c r="Y566" s="1">
        <v>5840000</v>
      </c>
      <c r="Z566" s="5">
        <v>42476</v>
      </c>
      <c r="AA566" s="1">
        <v>5852878</v>
      </c>
      <c r="AB566" s="1" t="s">
        <v>461</v>
      </c>
      <c r="AC566" s="5">
        <v>42515</v>
      </c>
      <c r="AF566" s="1">
        <v>10011</v>
      </c>
      <c r="AI566" s="1" t="s">
        <v>155</v>
      </c>
      <c r="AJ566" s="1">
        <v>2016</v>
      </c>
      <c r="AK566" s="1" t="s">
        <v>46</v>
      </c>
      <c r="AL566" s="1">
        <v>57</v>
      </c>
    </row>
    <row r="567" spans="1:38" x14ac:dyDescent="0.2">
      <c r="A567" s="2" t="str">
        <f>HYPERLINK("https://www.compass.com/listing/246-west-16th-street-unit-3-manhattan-ny-10011/801618029951461737/","246 W 16th St, Unit 3")</f>
        <v>246 W 16th St, Unit 3</v>
      </c>
      <c r="B567" s="2" t="str">
        <f>HYPERLINK("https://www.compass.com/building/246-w-16th-st-manhattan-ny-10011/281907837800567589/","246 W 16th St")</f>
        <v>246 W 16th St</v>
      </c>
      <c r="C567" s="1" t="s">
        <v>73</v>
      </c>
      <c r="D567" s="1" t="s">
        <v>41</v>
      </c>
      <c r="E567" s="3">
        <v>3450000</v>
      </c>
      <c r="F567" s="1">
        <v>2123.0769230769201</v>
      </c>
      <c r="G567" s="1">
        <v>5</v>
      </c>
      <c r="H567" s="1">
        <v>3</v>
      </c>
      <c r="I567" s="1">
        <v>3</v>
      </c>
      <c r="J567" s="1">
        <v>2.5</v>
      </c>
      <c r="K567" s="1">
        <v>2</v>
      </c>
      <c r="L567" s="1">
        <v>1</v>
      </c>
      <c r="M567" s="4">
        <v>1625</v>
      </c>
      <c r="N567" s="1">
        <v>750</v>
      </c>
      <c r="O567" s="1">
        <v>1454</v>
      </c>
      <c r="P567" s="1">
        <v>704</v>
      </c>
      <c r="Q567" s="1" t="s">
        <v>42</v>
      </c>
      <c r="S567" s="1" t="s">
        <v>462</v>
      </c>
      <c r="T567" s="1" t="s">
        <v>153</v>
      </c>
      <c r="V567" s="5">
        <v>44392</v>
      </c>
      <c r="W567" s="5">
        <v>44263</v>
      </c>
      <c r="X567" s="1">
        <v>3845000</v>
      </c>
      <c r="Y567" s="1">
        <v>3845000</v>
      </c>
      <c r="Z567" s="5">
        <v>44263</v>
      </c>
      <c r="AA567" s="1">
        <v>3450000</v>
      </c>
      <c r="AB567" s="1" t="s">
        <v>287</v>
      </c>
      <c r="AC567" s="5">
        <v>44363</v>
      </c>
      <c r="AF567" s="1">
        <v>10011</v>
      </c>
      <c r="AI567" s="1" t="s">
        <v>100</v>
      </c>
      <c r="AJ567" s="1">
        <v>2019</v>
      </c>
      <c r="AK567" s="1" t="s">
        <v>359</v>
      </c>
      <c r="AL567" s="1">
        <v>7</v>
      </c>
    </row>
    <row r="568" spans="1:38" x14ac:dyDescent="0.2">
      <c r="A568" s="2" t="str">
        <f>HYPERLINK("https://www.compass.com/listing/160-east-22nd-street-unit-9c-manhattan-ny-10010/783627345200730273/","160 E 22nd St, Unit 9C")</f>
        <v>160 E 22nd St, Unit 9C</v>
      </c>
      <c r="B568" s="2" t="str">
        <f t="shared" ref="B568:B569" si="89">HYPERLINK("https://www.compass.com/building/160-e-22nd-st-manhattan-ny-10010/292796862321154661/","160 E 22nd St")</f>
        <v>160 E 22nd St</v>
      </c>
      <c r="C568" s="1" t="s">
        <v>54</v>
      </c>
      <c r="D568" s="1" t="s">
        <v>41</v>
      </c>
      <c r="E568" s="3">
        <v>2425000</v>
      </c>
      <c r="F568" s="1">
        <v>2136.5638766519801</v>
      </c>
      <c r="G568" s="1">
        <v>4</v>
      </c>
      <c r="H568" s="1">
        <v>2</v>
      </c>
      <c r="I568" s="1">
        <v>2</v>
      </c>
      <c r="J568" s="1">
        <v>2</v>
      </c>
      <c r="M568" s="4">
        <v>1135</v>
      </c>
      <c r="N568" s="1">
        <v>1137</v>
      </c>
      <c r="O568" s="1">
        <v>2374</v>
      </c>
      <c r="P568" s="1">
        <v>1237</v>
      </c>
      <c r="Q568" s="1" t="s">
        <v>42</v>
      </c>
      <c r="S568" s="1" t="s">
        <v>42</v>
      </c>
      <c r="T568" s="1" t="s">
        <v>153</v>
      </c>
      <c r="U568" s="1">
        <v>54</v>
      </c>
      <c r="V568" s="5">
        <v>42873</v>
      </c>
      <c r="W568" s="5">
        <v>42614</v>
      </c>
      <c r="X568" s="1">
        <v>2825000</v>
      </c>
      <c r="Y568" s="1">
        <v>2695000</v>
      </c>
      <c r="AA568" s="1">
        <v>2425000</v>
      </c>
      <c r="AB568" s="1" t="s">
        <v>453</v>
      </c>
      <c r="AC568" s="5">
        <v>42908</v>
      </c>
      <c r="AF568" s="1">
        <v>10010</v>
      </c>
      <c r="AI568" s="1" t="s">
        <v>87</v>
      </c>
      <c r="AJ568" s="1">
        <v>2012</v>
      </c>
      <c r="AK568" s="1" t="s">
        <v>49</v>
      </c>
      <c r="AL568" s="1">
        <v>81</v>
      </c>
    </row>
    <row r="569" spans="1:38" x14ac:dyDescent="0.2">
      <c r="A569" s="2" t="str">
        <f>HYPERLINK("https://www.compass.com/listing/160-east-22nd-street-unit-16d-manhattan-ny-10010/803335912272344817/","160 E 22nd St, Unit 16D")</f>
        <v>160 E 22nd St, Unit 16D</v>
      </c>
      <c r="B569" s="2" t="str">
        <f t="shared" si="89"/>
        <v>160 E 22nd St</v>
      </c>
      <c r="C569" s="1" t="s">
        <v>54</v>
      </c>
      <c r="D569" s="1" t="s">
        <v>41</v>
      </c>
      <c r="E569" s="3">
        <v>1750000</v>
      </c>
      <c r="F569" s="1">
        <v>2100.8403361344499</v>
      </c>
      <c r="G569" s="1">
        <v>3</v>
      </c>
      <c r="H569" s="1">
        <v>1</v>
      </c>
      <c r="I569" s="1">
        <v>1</v>
      </c>
      <c r="J569" s="1">
        <v>1</v>
      </c>
      <c r="K569" s="1">
        <v>1</v>
      </c>
      <c r="M569" s="1">
        <v>833</v>
      </c>
      <c r="N569" s="1">
        <v>876</v>
      </c>
      <c r="O569" s="1">
        <v>1789</v>
      </c>
      <c r="P569" s="1">
        <v>913</v>
      </c>
      <c r="Q569" s="1" t="s">
        <v>42</v>
      </c>
      <c r="S569" s="1" t="s">
        <v>42</v>
      </c>
      <c r="T569" s="1" t="s">
        <v>153</v>
      </c>
      <c r="U569" s="1">
        <v>46</v>
      </c>
      <c r="V569" s="5">
        <v>42770</v>
      </c>
      <c r="W569" s="5">
        <v>42643</v>
      </c>
      <c r="X569" s="1">
        <v>1799000</v>
      </c>
      <c r="Y569" s="1">
        <v>1799000</v>
      </c>
      <c r="Z569" s="5">
        <v>42689</v>
      </c>
      <c r="AA569" s="1">
        <v>1750000</v>
      </c>
      <c r="AB569" s="1" t="s">
        <v>463</v>
      </c>
      <c r="AC569" s="5">
        <v>42758</v>
      </c>
      <c r="AF569" s="1">
        <v>10010</v>
      </c>
      <c r="AI569" s="1" t="s">
        <v>55</v>
      </c>
      <c r="AJ569" s="1">
        <v>2012</v>
      </c>
      <c r="AK569" s="1" t="s">
        <v>46</v>
      </c>
      <c r="AL569" s="1">
        <v>81</v>
      </c>
    </row>
    <row r="570" spans="1:38" x14ac:dyDescent="0.2">
      <c r="A570" s="2" t="str">
        <f>HYPERLINK("https://www.compass.com/listing/160-west-12th-street-unit-28-manhattan-ny-10011/29367248997185489/","160 W 12th St, Unit 28")</f>
        <v>160 W 12th St, Unit 28</v>
      </c>
      <c r="B570" s="2" t="str">
        <f t="shared" ref="B570:B574" si="90">HYPERLINK("https://www.compass.com/building/the-greenwich-lane-manhattan-ny/282059161326355877/","The Greenwich Lane")</f>
        <v>The Greenwich Lane</v>
      </c>
      <c r="C570" s="1" t="s">
        <v>40</v>
      </c>
      <c r="D570" s="1" t="s">
        <v>41</v>
      </c>
      <c r="E570" s="3">
        <v>6481288</v>
      </c>
      <c r="F570" s="1">
        <v>2621.88025889967</v>
      </c>
      <c r="G570" s="1">
        <v>4</v>
      </c>
      <c r="H570" s="1">
        <v>3</v>
      </c>
      <c r="I570" s="1">
        <v>3</v>
      </c>
      <c r="J570" s="1">
        <v>3</v>
      </c>
      <c r="K570" s="1">
        <v>3</v>
      </c>
      <c r="M570" s="4">
        <v>2472</v>
      </c>
      <c r="N570" s="1">
        <v>4202</v>
      </c>
      <c r="O570" s="1">
        <v>8321</v>
      </c>
      <c r="P570" s="1">
        <v>4119</v>
      </c>
      <c r="Q570" s="1" t="s">
        <v>42</v>
      </c>
      <c r="S570" s="1" t="s">
        <v>42</v>
      </c>
      <c r="T570" s="1" t="s">
        <v>153</v>
      </c>
      <c r="U570" s="1">
        <v>1</v>
      </c>
      <c r="V570" s="5">
        <v>43678</v>
      </c>
      <c r="W570" s="5">
        <v>42102</v>
      </c>
      <c r="X570" s="1">
        <v>6350000</v>
      </c>
      <c r="Y570" s="1">
        <v>6350000</v>
      </c>
      <c r="Z570" s="5">
        <v>42103</v>
      </c>
      <c r="AA570" s="1">
        <v>6481288</v>
      </c>
      <c r="AB570" s="1" t="s">
        <v>464</v>
      </c>
      <c r="AC570" s="5">
        <v>42507</v>
      </c>
      <c r="AF570" s="1">
        <v>10011</v>
      </c>
      <c r="AI570" s="1" t="s">
        <v>45</v>
      </c>
      <c r="AJ570" s="1">
        <v>2016</v>
      </c>
      <c r="AK570" s="1" t="s">
        <v>46</v>
      </c>
      <c r="AL570" s="1">
        <v>57</v>
      </c>
    </row>
    <row r="571" spans="1:38" x14ac:dyDescent="0.2">
      <c r="A571" s="2" t="str">
        <f>HYPERLINK("https://www.compass.com/listing/160-west-12th-street-unit-38-manhattan-ny-10011/29367251765381265/","160 W 12th St, Unit 38")</f>
        <v>160 W 12th St, Unit 38</v>
      </c>
      <c r="B571" s="2" t="str">
        <f t="shared" si="90"/>
        <v>The Greenwich Lane</v>
      </c>
      <c r="C571" s="1" t="s">
        <v>40</v>
      </c>
      <c r="D571" s="1" t="s">
        <v>41</v>
      </c>
      <c r="E571" s="3">
        <v>6735788</v>
      </c>
      <c r="F571" s="1">
        <v>2749.3010612244898</v>
      </c>
      <c r="G571" s="1">
        <v>4</v>
      </c>
      <c r="H571" s="1">
        <v>3</v>
      </c>
      <c r="I571" s="1">
        <v>3</v>
      </c>
      <c r="J571" s="1">
        <v>3</v>
      </c>
      <c r="K571" s="1">
        <v>3</v>
      </c>
      <c r="M571" s="4">
        <v>2450</v>
      </c>
      <c r="N571" s="1">
        <v>4186</v>
      </c>
      <c r="O571" s="1">
        <v>8288</v>
      </c>
      <c r="P571" s="1">
        <v>4102</v>
      </c>
      <c r="Q571" s="1" t="s">
        <v>42</v>
      </c>
      <c r="S571" s="1" t="s">
        <v>42</v>
      </c>
      <c r="T571" s="1" t="s">
        <v>153</v>
      </c>
      <c r="V571" s="5">
        <v>42503</v>
      </c>
      <c r="W571" s="5">
        <v>42114</v>
      </c>
      <c r="X571" s="1">
        <v>6600000</v>
      </c>
      <c r="Y571" s="1">
        <v>6600000</v>
      </c>
      <c r="Z571" s="5">
        <v>42115</v>
      </c>
      <c r="AA571" s="1">
        <v>6735787.5999999996</v>
      </c>
      <c r="AB571" s="1" t="s">
        <v>465</v>
      </c>
      <c r="AC571" s="5">
        <v>42487</v>
      </c>
      <c r="AF571" s="1">
        <v>10011</v>
      </c>
      <c r="AI571" s="1" t="s">
        <v>45</v>
      </c>
      <c r="AJ571" s="1">
        <v>2016</v>
      </c>
      <c r="AK571" s="1" t="s">
        <v>46</v>
      </c>
      <c r="AL571" s="1">
        <v>57</v>
      </c>
    </row>
    <row r="572" spans="1:38" x14ac:dyDescent="0.2">
      <c r="A572" s="2" t="str">
        <f>HYPERLINK("https://www.compass.com/listing/160-west-12th-street-unit-106-manhattan-ny-10011/4852262922895754625/","160 W 12th St, Unit 106")</f>
        <v>160 W 12th St, Unit 106</v>
      </c>
      <c r="B572" s="2" t="str">
        <f t="shared" si="90"/>
        <v>The Greenwich Lane</v>
      </c>
      <c r="C572" s="1" t="s">
        <v>40</v>
      </c>
      <c r="D572" s="1" t="s">
        <v>41</v>
      </c>
      <c r="E572" s="3">
        <v>8469975</v>
      </c>
      <c r="F572" s="1">
        <v>2965.6775210084002</v>
      </c>
      <c r="G572" s="1">
        <v>4</v>
      </c>
      <c r="H572" s="1">
        <v>3</v>
      </c>
      <c r="I572" s="1">
        <v>3</v>
      </c>
      <c r="J572" s="1">
        <v>3</v>
      </c>
      <c r="K572" s="1">
        <v>3</v>
      </c>
      <c r="M572" s="4">
        <v>2856</v>
      </c>
      <c r="N572" s="1">
        <v>5048</v>
      </c>
      <c r="O572" s="1">
        <v>10856</v>
      </c>
      <c r="P572" s="1">
        <v>5808</v>
      </c>
      <c r="Q572" s="1" t="s">
        <v>42</v>
      </c>
      <c r="S572" s="1" t="s">
        <v>42</v>
      </c>
      <c r="T572" s="1" t="s">
        <v>153</v>
      </c>
      <c r="U572" s="1">
        <v>105</v>
      </c>
      <c r="V572" s="5">
        <v>43641</v>
      </c>
      <c r="W572" s="5">
        <v>42039</v>
      </c>
      <c r="X572" s="1">
        <v>8300000</v>
      </c>
      <c r="Y572" s="1">
        <v>8300000</v>
      </c>
      <c r="Z572" s="5">
        <v>42144</v>
      </c>
      <c r="AA572" s="1">
        <v>8469975</v>
      </c>
      <c r="AB572" s="1" t="s">
        <v>466</v>
      </c>
      <c r="AC572" s="5">
        <v>42607</v>
      </c>
      <c r="AF572" s="1">
        <v>10011</v>
      </c>
      <c r="AI572" s="1" t="s">
        <v>45</v>
      </c>
      <c r="AJ572" s="1">
        <v>2016</v>
      </c>
      <c r="AK572" s="1" t="s">
        <v>46</v>
      </c>
      <c r="AL572" s="1">
        <v>57</v>
      </c>
    </row>
    <row r="573" spans="1:38" x14ac:dyDescent="0.2">
      <c r="A573" s="2" t="str">
        <f>HYPERLINK("https://www.compass.com/listing/160-west-12th-street-unit-ph3-manhattan-ny-10011/783309081748909849/","160 W 12th St, Unit PH3")</f>
        <v>160 W 12th St, Unit PH3</v>
      </c>
      <c r="B573" s="2" t="str">
        <f t="shared" si="90"/>
        <v>The Greenwich Lane</v>
      </c>
      <c r="C573" s="1" t="s">
        <v>40</v>
      </c>
      <c r="D573" s="1" t="s">
        <v>41</v>
      </c>
      <c r="E573" s="3">
        <v>17794025</v>
      </c>
      <c r="F573" s="1">
        <v>5072.4130444697803</v>
      </c>
      <c r="G573" s="1">
        <v>7</v>
      </c>
      <c r="H573" s="1">
        <v>3</v>
      </c>
      <c r="I573" s="1">
        <v>4</v>
      </c>
      <c r="J573" s="1">
        <v>4</v>
      </c>
      <c r="K573" s="1">
        <v>4</v>
      </c>
      <c r="M573" s="4">
        <v>3508</v>
      </c>
      <c r="N573" s="1">
        <v>6976</v>
      </c>
      <c r="O573" s="1">
        <v>15001</v>
      </c>
      <c r="P573" s="1">
        <v>8025</v>
      </c>
      <c r="Q573" s="1" t="s">
        <v>42</v>
      </c>
      <c r="S573" s="1" t="s">
        <v>42</v>
      </c>
      <c r="T573" s="1" t="s">
        <v>153</v>
      </c>
      <c r="U573" s="1">
        <v>119</v>
      </c>
      <c r="V573" s="5">
        <v>42795</v>
      </c>
      <c r="W573" s="5">
        <v>42235</v>
      </c>
      <c r="X573" s="1">
        <v>17450000</v>
      </c>
      <c r="Y573" s="1">
        <v>17450000</v>
      </c>
      <c r="Z573" s="5">
        <v>42355</v>
      </c>
      <c r="AA573" s="1">
        <v>17794024.960000001</v>
      </c>
      <c r="AB573" s="1" t="s">
        <v>467</v>
      </c>
      <c r="AC573" s="5">
        <v>42789</v>
      </c>
      <c r="AF573" s="1">
        <v>10011</v>
      </c>
      <c r="AI573" s="1" t="s">
        <v>468</v>
      </c>
      <c r="AJ573" s="1">
        <v>2016</v>
      </c>
      <c r="AK573" s="1" t="s">
        <v>46</v>
      </c>
      <c r="AL573" s="1">
        <v>57</v>
      </c>
    </row>
    <row r="574" spans="1:38" x14ac:dyDescent="0.2">
      <c r="A574" s="2" t="str">
        <f>HYPERLINK("https://www.compass.com/listing/160-west-12th-street-unit-75-manhattan-ny-10011/29367261018016033/","160 W 12th St, Unit 75")</f>
        <v>160 W 12th St, Unit 75</v>
      </c>
      <c r="B574" s="2" t="str">
        <f t="shared" si="90"/>
        <v>The Greenwich Lane</v>
      </c>
      <c r="C574" s="1" t="s">
        <v>40</v>
      </c>
      <c r="D574" s="1" t="s">
        <v>41</v>
      </c>
      <c r="E574" s="3">
        <v>3571791</v>
      </c>
      <c r="F574" s="1">
        <v>3084.4481865284902</v>
      </c>
      <c r="G574" s="1">
        <v>3</v>
      </c>
      <c r="H574" s="1">
        <v>1</v>
      </c>
      <c r="I574" s="1">
        <v>1</v>
      </c>
      <c r="J574" s="1">
        <v>1</v>
      </c>
      <c r="K574" s="1">
        <v>1</v>
      </c>
      <c r="M574" s="4">
        <v>1158</v>
      </c>
      <c r="N574" s="1">
        <v>2114</v>
      </c>
      <c r="O574" s="1">
        <v>4599</v>
      </c>
      <c r="P574" s="1">
        <v>2485</v>
      </c>
      <c r="Q574" s="1" t="s">
        <v>42</v>
      </c>
      <c r="S574" s="1" t="s">
        <v>42</v>
      </c>
      <c r="T574" s="1" t="s">
        <v>153</v>
      </c>
      <c r="V574" s="5">
        <v>43631</v>
      </c>
      <c r="W574" s="5">
        <v>41855</v>
      </c>
      <c r="X574" s="1">
        <v>3750000</v>
      </c>
      <c r="Y574" s="1">
        <v>3750000</v>
      </c>
      <c r="Z574" s="5">
        <v>42284</v>
      </c>
      <c r="AA574" s="1">
        <v>3571791</v>
      </c>
      <c r="AB574" s="1" t="s">
        <v>469</v>
      </c>
      <c r="AC574" s="5">
        <v>42532</v>
      </c>
      <c r="AF574" s="1">
        <v>10011</v>
      </c>
      <c r="AI574" s="1" t="s">
        <v>233</v>
      </c>
      <c r="AJ574" s="1">
        <v>2016</v>
      </c>
      <c r="AK574" s="1" t="s">
        <v>46</v>
      </c>
      <c r="AL574" s="1">
        <v>57</v>
      </c>
    </row>
    <row r="575" spans="1:38" x14ac:dyDescent="0.2">
      <c r="A575" s="2" t="str">
        <f>HYPERLINK("https://www.compass.com/listing/160-east-22nd-street-unit-16d-manhattan-ny-10010/29378198210976609/","160 E 22nd St, Unit 16D")</f>
        <v>160 E 22nd St, Unit 16D</v>
      </c>
      <c r="B575" s="2" t="str">
        <f t="shared" ref="B575:B577" si="91">HYPERLINK("https://www.compass.com/building/160-e-22nd-st-manhattan-ny-10010/292796862321154661/","160 E 22nd St")</f>
        <v>160 E 22nd St</v>
      </c>
      <c r="C575" s="1" t="s">
        <v>54</v>
      </c>
      <c r="D575" s="1" t="s">
        <v>41</v>
      </c>
      <c r="E575" s="3">
        <v>1750000</v>
      </c>
      <c r="F575" s="1">
        <v>2100.8403361344499</v>
      </c>
      <c r="G575" s="1">
        <v>3</v>
      </c>
      <c r="H575" s="1">
        <v>1</v>
      </c>
      <c r="I575" s="1">
        <v>1</v>
      </c>
      <c r="J575" s="1">
        <v>1</v>
      </c>
      <c r="M575" s="1">
        <v>833</v>
      </c>
      <c r="N575" s="1">
        <v>798</v>
      </c>
      <c r="O575" s="1">
        <v>1287</v>
      </c>
      <c r="P575" s="1">
        <v>489</v>
      </c>
      <c r="Q575" s="1" t="s">
        <v>42</v>
      </c>
      <c r="S575" s="1" t="s">
        <v>42</v>
      </c>
      <c r="T575" s="1" t="s">
        <v>153</v>
      </c>
      <c r="U575" s="1">
        <v>297</v>
      </c>
      <c r="V575" s="5">
        <v>42879</v>
      </c>
      <c r="W575" s="5">
        <v>42461</v>
      </c>
      <c r="X575" s="1">
        <v>1799000</v>
      </c>
      <c r="Y575" s="1">
        <v>1799000</v>
      </c>
      <c r="AA575" s="1">
        <v>1750000</v>
      </c>
      <c r="AB575" s="1" t="s">
        <v>463</v>
      </c>
      <c r="AC575" s="5">
        <v>42758</v>
      </c>
      <c r="AF575" s="1">
        <v>10010</v>
      </c>
      <c r="AI575" s="1" t="s">
        <v>55</v>
      </c>
      <c r="AJ575" s="1">
        <v>2012</v>
      </c>
      <c r="AK575" s="1" t="s">
        <v>46</v>
      </c>
      <c r="AL575" s="1">
        <v>81</v>
      </c>
    </row>
    <row r="576" spans="1:38" x14ac:dyDescent="0.2">
      <c r="A576" s="2" t="str">
        <f>HYPERLINK("https://www.compass.com/listing/160-east-22nd-street-unit-16d-manhattan-ny-10010/803335912272344809/","160 E 22nd St, Unit 16D")</f>
        <v>160 E 22nd St, Unit 16D</v>
      </c>
      <c r="B576" s="2" t="str">
        <f t="shared" si="91"/>
        <v>160 E 22nd St</v>
      </c>
      <c r="C576" s="1" t="s">
        <v>54</v>
      </c>
      <c r="D576" s="1" t="s">
        <v>41</v>
      </c>
      <c r="E576" s="3">
        <v>1750000</v>
      </c>
      <c r="F576" s="1">
        <v>2100.8403361344499</v>
      </c>
      <c r="G576" s="1">
        <v>3</v>
      </c>
      <c r="H576" s="1">
        <v>1</v>
      </c>
      <c r="I576" s="1">
        <v>1</v>
      </c>
      <c r="J576" s="1">
        <v>1</v>
      </c>
      <c r="M576" s="1">
        <v>833</v>
      </c>
      <c r="N576" s="1">
        <v>798</v>
      </c>
      <c r="O576" s="1">
        <v>1287</v>
      </c>
      <c r="P576" s="1">
        <v>489</v>
      </c>
      <c r="Q576" s="1" t="s">
        <v>42</v>
      </c>
      <c r="S576" s="1" t="s">
        <v>42</v>
      </c>
      <c r="T576" s="1" t="s">
        <v>153</v>
      </c>
      <c r="U576" s="1">
        <v>463</v>
      </c>
      <c r="V576" s="5">
        <v>42879</v>
      </c>
      <c r="W576" s="5">
        <v>42286</v>
      </c>
      <c r="X576" s="1">
        <v>1995000</v>
      </c>
      <c r="Y576" s="1">
        <v>1849000</v>
      </c>
      <c r="AA576" s="1">
        <v>1750000</v>
      </c>
      <c r="AB576" s="1" t="s">
        <v>463</v>
      </c>
      <c r="AC576" s="5">
        <v>42758</v>
      </c>
      <c r="AF576" s="1">
        <v>10010</v>
      </c>
      <c r="AI576" s="1" t="s">
        <v>55</v>
      </c>
      <c r="AJ576" s="1">
        <v>2012</v>
      </c>
      <c r="AK576" s="1" t="s">
        <v>49</v>
      </c>
      <c r="AL576" s="1">
        <v>81</v>
      </c>
    </row>
    <row r="577" spans="1:38" x14ac:dyDescent="0.2">
      <c r="A577" s="2" t="str">
        <f>HYPERLINK("https://www.compass.com/listing/160-east-22nd-street-unit-15b-manhattan-ny-10010/29512113680615553/","160 E 22nd St, Unit 15B")</f>
        <v>160 E 22nd St, Unit 15B</v>
      </c>
      <c r="B577" s="2" t="str">
        <f t="shared" si="91"/>
        <v>160 E 22nd St</v>
      </c>
      <c r="C577" s="1" t="s">
        <v>54</v>
      </c>
      <c r="D577" s="1" t="s">
        <v>41</v>
      </c>
      <c r="E577" s="3">
        <v>1420000</v>
      </c>
      <c r="F577" s="1">
        <v>1966.7590027700801</v>
      </c>
      <c r="G577" s="1">
        <v>3</v>
      </c>
      <c r="H577" s="1">
        <v>1</v>
      </c>
      <c r="I577" s="1">
        <v>1</v>
      </c>
      <c r="J577" s="1">
        <v>1</v>
      </c>
      <c r="K577" s="1">
        <v>1</v>
      </c>
      <c r="M577" s="1">
        <v>722</v>
      </c>
      <c r="N577" s="1">
        <v>792</v>
      </c>
      <c r="O577" s="1">
        <v>1890</v>
      </c>
      <c r="P577" s="1">
        <v>1098</v>
      </c>
      <c r="Q577" s="1" t="s">
        <v>42</v>
      </c>
      <c r="S577" s="1" t="s">
        <v>42</v>
      </c>
      <c r="T577" s="1" t="s">
        <v>153</v>
      </c>
      <c r="U577" s="1">
        <v>283</v>
      </c>
      <c r="V577" s="5">
        <v>43697</v>
      </c>
      <c r="W577" s="5">
        <v>43270</v>
      </c>
      <c r="X577" s="1">
        <v>1650000</v>
      </c>
      <c r="Y577" s="1">
        <v>1495000</v>
      </c>
      <c r="Z577" s="5">
        <v>43553</v>
      </c>
      <c r="AA577" s="1">
        <v>1420000</v>
      </c>
      <c r="AB577" s="1" t="s">
        <v>470</v>
      </c>
      <c r="AC577" s="5">
        <v>43644</v>
      </c>
      <c r="AF577" s="1">
        <v>10010</v>
      </c>
      <c r="AI577" s="1" t="s">
        <v>87</v>
      </c>
      <c r="AJ577" s="1">
        <v>2012</v>
      </c>
      <c r="AK577" s="1" t="s">
        <v>471</v>
      </c>
      <c r="AL577" s="1">
        <v>81</v>
      </c>
    </row>
    <row r="578" spans="1:38" x14ac:dyDescent="0.2">
      <c r="A578" s="2" t="str">
        <f>HYPERLINK("https://www.compass.com/listing/22-bond-street-unit-c-manhattan-ny-10012/29513658786647281/","22 Bond St, Unit C")</f>
        <v>22 Bond St, Unit C</v>
      </c>
      <c r="B578" s="2" t="str">
        <f>HYPERLINK("https://www.compass.com/building/22-bond-st-manhattan-ny-10012/281914522304804773/","22 Bond St")</f>
        <v>22 Bond St</v>
      </c>
      <c r="C578" s="1" t="s">
        <v>144</v>
      </c>
      <c r="D578" s="1" t="s">
        <v>41</v>
      </c>
      <c r="E578" s="3">
        <v>7757700</v>
      </c>
      <c r="F578" s="1">
        <v>2639.5712827492298</v>
      </c>
      <c r="G578" s="1">
        <v>6</v>
      </c>
      <c r="H578" s="1">
        <v>3</v>
      </c>
      <c r="I578" s="1">
        <v>4</v>
      </c>
      <c r="J578" s="1">
        <v>3</v>
      </c>
      <c r="K578" s="1">
        <v>3</v>
      </c>
      <c r="M578" s="4">
        <v>2939</v>
      </c>
      <c r="N578" s="1">
        <v>4098</v>
      </c>
      <c r="O578" s="1">
        <v>8199</v>
      </c>
      <c r="P578" s="1">
        <v>4101</v>
      </c>
      <c r="Q578" s="1" t="s">
        <v>42</v>
      </c>
      <c r="S578" s="1" t="s">
        <v>42</v>
      </c>
      <c r="T578" s="1" t="s">
        <v>153</v>
      </c>
      <c r="U578" s="1">
        <v>50</v>
      </c>
      <c r="V578" s="5">
        <v>43644</v>
      </c>
      <c r="W578" s="5">
        <v>43189</v>
      </c>
      <c r="X578" s="1">
        <v>10422000</v>
      </c>
      <c r="Y578" s="1">
        <v>8785000</v>
      </c>
      <c r="Z578" s="5">
        <v>43240</v>
      </c>
      <c r="AA578" s="1">
        <v>7757700</v>
      </c>
      <c r="AB578" s="1" t="s">
        <v>472</v>
      </c>
      <c r="AC578" s="5">
        <v>43706</v>
      </c>
      <c r="AF578" s="1">
        <v>10012</v>
      </c>
      <c r="AI578" s="1" t="s">
        <v>473</v>
      </c>
      <c r="AJ578" s="1">
        <v>1930</v>
      </c>
      <c r="AK578" s="1" t="s">
        <v>86</v>
      </c>
      <c r="AL578" s="1">
        <v>6</v>
      </c>
    </row>
    <row r="579" spans="1:38" x14ac:dyDescent="0.2">
      <c r="A579" s="2" t="str">
        <f>HYPERLINK("https://www.compass.com/listing/160-west-12th-street-unit-55-manhattan-ny-10011/803352759239635729/","160 W 12th St, Unit 55")</f>
        <v>160 W 12th St, Unit 55</v>
      </c>
      <c r="B579" s="2" t="str">
        <f>HYPERLINK("https://www.compass.com/building/the-greenwich-lane-manhattan-ny/282059161326355877/","The Greenwich Lane")</f>
        <v>The Greenwich Lane</v>
      </c>
      <c r="C579" s="1" t="s">
        <v>40</v>
      </c>
      <c r="D579" s="1" t="s">
        <v>41</v>
      </c>
      <c r="E579" s="3">
        <v>2342531</v>
      </c>
      <c r="F579" s="1">
        <v>2626.1561883407999</v>
      </c>
      <c r="G579" s="1">
        <v>3</v>
      </c>
      <c r="H579" s="1">
        <v>1</v>
      </c>
      <c r="I579" s="1">
        <v>1</v>
      </c>
      <c r="J579" s="1">
        <v>1</v>
      </c>
      <c r="K579" s="1">
        <v>1</v>
      </c>
      <c r="M579" s="1">
        <v>892</v>
      </c>
      <c r="N579" s="1">
        <v>1539</v>
      </c>
      <c r="O579" s="1">
        <v>3048</v>
      </c>
      <c r="P579" s="1">
        <v>1509</v>
      </c>
      <c r="Q579" s="1" t="s">
        <v>42</v>
      </c>
      <c r="S579" s="1" t="s">
        <v>42</v>
      </c>
      <c r="T579" s="1" t="s">
        <v>153</v>
      </c>
      <c r="U579" s="1">
        <v>17</v>
      </c>
      <c r="V579" s="5">
        <v>42971</v>
      </c>
      <c r="W579" s="5">
        <v>41810</v>
      </c>
      <c r="X579" s="1">
        <v>2295000</v>
      </c>
      <c r="Y579" s="1">
        <v>2295000</v>
      </c>
      <c r="Z579" s="5">
        <v>41827</v>
      </c>
      <c r="AA579" s="1">
        <v>2342531.3199999998</v>
      </c>
      <c r="AB579" s="1" t="s">
        <v>454</v>
      </c>
      <c r="AC579" s="5">
        <v>42453</v>
      </c>
      <c r="AF579" s="1">
        <v>10011</v>
      </c>
      <c r="AI579" s="1" t="s">
        <v>45</v>
      </c>
      <c r="AJ579" s="1">
        <v>2016</v>
      </c>
      <c r="AK579" s="1" t="s">
        <v>46</v>
      </c>
      <c r="AL579" s="1">
        <v>57</v>
      </c>
    </row>
    <row r="580" spans="1:38" x14ac:dyDescent="0.2">
      <c r="A580" s="2" t="str">
        <f>HYPERLINK("https://www.compass.com/listing/77-warren-street-unit-5-manhattan-ny-10007/29509704547833105/","77 Warren St, Unit 5")</f>
        <v>77 Warren St, Unit 5</v>
      </c>
      <c r="B580" s="2" t="str">
        <f>HYPERLINK("https://www.compass.com/building/77-warren-street-manhattan-ny/281897165184312741/","77 Warren Street")</f>
        <v>77 Warren Street</v>
      </c>
      <c r="C580" s="1" t="s">
        <v>65</v>
      </c>
      <c r="D580" s="1" t="s">
        <v>41</v>
      </c>
      <c r="E580" s="3">
        <v>2975000</v>
      </c>
      <c r="F580" s="1">
        <v>1970.1986754966799</v>
      </c>
      <c r="H580" s="1">
        <v>2</v>
      </c>
      <c r="J580" s="1">
        <v>2</v>
      </c>
      <c r="M580" s="4">
        <v>1510</v>
      </c>
      <c r="N580" s="1">
        <v>1437</v>
      </c>
      <c r="O580" s="1">
        <v>2934</v>
      </c>
      <c r="P580" s="1">
        <v>1497</v>
      </c>
      <c r="Q580" s="1" t="s">
        <v>42</v>
      </c>
      <c r="S580" s="1" t="s">
        <v>42</v>
      </c>
      <c r="T580" s="1" t="s">
        <v>153</v>
      </c>
      <c r="AA580" s="1">
        <v>2975000</v>
      </c>
      <c r="AB580" s="1" t="s">
        <v>474</v>
      </c>
      <c r="AC580" s="5">
        <v>43307</v>
      </c>
      <c r="AF580" s="1">
        <v>10007</v>
      </c>
      <c r="AJ580" s="1">
        <v>1905</v>
      </c>
      <c r="AL580" s="1">
        <v>4</v>
      </c>
    </row>
    <row r="581" spans="1:38" x14ac:dyDescent="0.2">
      <c r="A581" s="2" t="str">
        <f>HYPERLINK("https://www.compass.com/listing/160-east-22nd-street-unit-11b-manhattan-ny-10010/151998219679822033/","160 E 22nd St, Unit 11B")</f>
        <v>160 E 22nd St, Unit 11B</v>
      </c>
      <c r="B581" s="2" t="str">
        <f>HYPERLINK("https://www.compass.com/building/160-e-22nd-st-manhattan-ny-10010/292796862321154661/","160 E 22nd St")</f>
        <v>160 E 22nd St</v>
      </c>
      <c r="C581" s="1" t="s">
        <v>54</v>
      </c>
      <c r="D581" s="1" t="s">
        <v>41</v>
      </c>
      <c r="E581" s="3">
        <v>1340000</v>
      </c>
      <c r="F581" s="1">
        <v>1855.9556786703599</v>
      </c>
      <c r="G581" s="1">
        <v>3</v>
      </c>
      <c r="H581" s="1">
        <v>1</v>
      </c>
      <c r="I581" s="1">
        <v>1</v>
      </c>
      <c r="J581" s="1">
        <v>1</v>
      </c>
      <c r="K581" s="1">
        <v>1</v>
      </c>
      <c r="M581" s="1">
        <v>722</v>
      </c>
      <c r="N581" s="1">
        <v>851</v>
      </c>
      <c r="O581" s="1">
        <v>1968</v>
      </c>
      <c r="P581" s="1">
        <v>1117</v>
      </c>
      <c r="Q581" s="1" t="s">
        <v>42</v>
      </c>
      <c r="S581" s="1" t="s">
        <v>42</v>
      </c>
      <c r="T581" s="1" t="s">
        <v>153</v>
      </c>
      <c r="U581" s="1">
        <v>220</v>
      </c>
      <c r="V581" s="5">
        <v>43944</v>
      </c>
      <c r="W581" s="5">
        <v>43455</v>
      </c>
      <c r="X581" s="1">
        <v>1500000</v>
      </c>
      <c r="Y581" s="1">
        <v>1400000</v>
      </c>
      <c r="Z581" s="5">
        <v>43868</v>
      </c>
      <c r="AA581" s="1">
        <v>1340000</v>
      </c>
      <c r="AB581" s="1" t="s">
        <v>475</v>
      </c>
      <c r="AC581" s="5">
        <v>43928</v>
      </c>
      <c r="AF581" s="1">
        <v>10010</v>
      </c>
      <c r="AI581" s="1" t="s">
        <v>87</v>
      </c>
      <c r="AJ581" s="1">
        <v>2012</v>
      </c>
      <c r="AK581" s="1" t="s">
        <v>49</v>
      </c>
      <c r="AL581" s="1">
        <v>81</v>
      </c>
    </row>
    <row r="582" spans="1:38" x14ac:dyDescent="0.2">
      <c r="A582" s="2" t="str">
        <f>HYPERLINK("https://www.compass.com/listing/215-sullivan-street-unit-5c-manhattan-ny-10012/4852323897833438609/","215 Sullivan St, Unit 5C")</f>
        <v>215 Sullivan St, Unit 5C</v>
      </c>
      <c r="B582" s="2" t="str">
        <f>HYPERLINK("https://www.compass.com/building/215-sullivan-st-manhattan-ny-10012/292810405493901557/","215 Sullivan St")</f>
        <v>215 Sullivan St</v>
      </c>
      <c r="C582" s="1" t="s">
        <v>159</v>
      </c>
      <c r="D582" s="1" t="s">
        <v>41</v>
      </c>
      <c r="E582" s="3">
        <v>3742068</v>
      </c>
      <c r="F582" s="1">
        <v>2618.6620013995798</v>
      </c>
      <c r="G582" s="1">
        <v>7</v>
      </c>
      <c r="H582" s="1">
        <v>2</v>
      </c>
      <c r="I582" s="1">
        <v>3</v>
      </c>
      <c r="J582" s="1">
        <v>2.5</v>
      </c>
      <c r="M582" s="4">
        <v>1429</v>
      </c>
      <c r="N582" s="1">
        <v>1644</v>
      </c>
      <c r="O582" s="1">
        <v>1644</v>
      </c>
      <c r="Q582" s="1" t="s">
        <v>42</v>
      </c>
      <c r="S582" s="1" t="s">
        <v>42</v>
      </c>
      <c r="T582" s="1" t="s">
        <v>153</v>
      </c>
      <c r="V582" s="5">
        <v>43650</v>
      </c>
      <c r="W582" s="5">
        <v>41976</v>
      </c>
      <c r="X582" s="1">
        <v>3675000</v>
      </c>
      <c r="Y582" s="1">
        <v>3675000</v>
      </c>
      <c r="Z582" s="5">
        <v>41976</v>
      </c>
      <c r="AA582" s="1">
        <v>3742068</v>
      </c>
      <c r="AB582" s="1" t="s">
        <v>476</v>
      </c>
      <c r="AC582" s="5">
        <v>42362</v>
      </c>
      <c r="AF582" s="1">
        <v>10012</v>
      </c>
      <c r="AI582" s="1" t="s">
        <v>45</v>
      </c>
      <c r="AJ582" s="1">
        <v>2014</v>
      </c>
      <c r="AK582" s="1" t="s">
        <v>99</v>
      </c>
      <c r="AL582" s="1">
        <v>25</v>
      </c>
    </row>
    <row r="583" spans="1:38" x14ac:dyDescent="0.2">
      <c r="A583" s="2" t="str">
        <f>HYPERLINK("https://www.compass.com/listing/160-east-22nd-street-unit-4b-manhattan-ny-10010/583326577881008321/","160 E 22nd St, Unit 4B")</f>
        <v>160 E 22nd St, Unit 4B</v>
      </c>
      <c r="B583" s="2" t="str">
        <f>HYPERLINK("https://www.compass.com/building/160-e-22nd-st-manhattan-ny-10010/292796862321154661/","160 E 22nd St")</f>
        <v>160 E 22nd St</v>
      </c>
      <c r="C583" s="1" t="s">
        <v>54</v>
      </c>
      <c r="D583" s="1" t="s">
        <v>41</v>
      </c>
      <c r="E583" s="3">
        <v>1220000</v>
      </c>
      <c r="F583" s="1">
        <v>1755.39568345323</v>
      </c>
      <c r="G583" s="1">
        <v>3</v>
      </c>
      <c r="H583" s="1">
        <v>1</v>
      </c>
      <c r="I583" s="1">
        <v>1</v>
      </c>
      <c r="J583" s="1">
        <v>1</v>
      </c>
      <c r="K583" s="1">
        <v>1</v>
      </c>
      <c r="M583" s="1">
        <v>695</v>
      </c>
      <c r="N583" s="1">
        <v>812</v>
      </c>
      <c r="O583" s="1">
        <v>2274</v>
      </c>
      <c r="P583" s="1">
        <v>1462</v>
      </c>
      <c r="Q583" s="1" t="s">
        <v>42</v>
      </c>
      <c r="S583" s="1" t="s">
        <v>42</v>
      </c>
      <c r="T583" s="1" t="s">
        <v>153</v>
      </c>
      <c r="V583" s="5">
        <v>44280</v>
      </c>
      <c r="W583" s="5">
        <v>44053</v>
      </c>
      <c r="X583" s="1">
        <v>1325000</v>
      </c>
      <c r="Y583" s="1">
        <v>1250000</v>
      </c>
      <c r="Z583" s="5">
        <v>44053</v>
      </c>
      <c r="AA583" s="1">
        <v>1220000</v>
      </c>
      <c r="AB583" s="1" t="s">
        <v>477</v>
      </c>
      <c r="AC583" s="5">
        <v>44271</v>
      </c>
      <c r="AF583" s="1">
        <v>10010</v>
      </c>
      <c r="AI583" s="1" t="s">
        <v>55</v>
      </c>
      <c r="AJ583" s="1">
        <v>2012</v>
      </c>
      <c r="AK583" s="1" t="s">
        <v>478</v>
      </c>
      <c r="AL583" s="1">
        <v>81</v>
      </c>
    </row>
    <row r="584" spans="1:38" x14ac:dyDescent="0.2">
      <c r="A584" s="2" t="str">
        <f>HYPERLINK("https://www.compass.com/listing/215-sullivan-street-unit-6b-manhattan-ny-10012/616310310380412433/","215 Sullivan St, Unit 6B")</f>
        <v>215 Sullivan St, Unit 6B</v>
      </c>
      <c r="B584" s="2" t="str">
        <f>HYPERLINK("https://www.compass.com/building/215-sullivan-st-manhattan-ny-10012/292810405493901557/","215 Sullivan St")</f>
        <v>215 Sullivan St</v>
      </c>
      <c r="C584" s="1" t="s">
        <v>159</v>
      </c>
      <c r="D584" s="1" t="s">
        <v>41</v>
      </c>
      <c r="E584" s="3">
        <v>2884700</v>
      </c>
      <c r="F584" s="1">
        <v>2789.8452611218499</v>
      </c>
      <c r="H584" s="1">
        <v>1</v>
      </c>
      <c r="J584" s="1">
        <v>1.5</v>
      </c>
      <c r="M584" s="4">
        <v>1034</v>
      </c>
      <c r="N584" s="1">
        <v>1811</v>
      </c>
      <c r="O584" s="1">
        <v>3767</v>
      </c>
      <c r="P584" s="1">
        <v>1956</v>
      </c>
      <c r="Q584" s="1" t="s">
        <v>42</v>
      </c>
      <c r="S584" s="1" t="s">
        <v>42</v>
      </c>
      <c r="T584" s="1" t="s">
        <v>153</v>
      </c>
      <c r="AA584" s="1">
        <v>2884700</v>
      </c>
      <c r="AB584" s="1" t="s">
        <v>479</v>
      </c>
      <c r="AC584" s="5">
        <v>42389</v>
      </c>
      <c r="AF584" s="1">
        <v>10012</v>
      </c>
      <c r="AI584" s="1" t="s">
        <v>45</v>
      </c>
      <c r="AJ584" s="1">
        <v>2014</v>
      </c>
      <c r="AK584" s="1" t="s">
        <v>99</v>
      </c>
      <c r="AL584" s="1">
        <v>25</v>
      </c>
    </row>
    <row r="585" spans="1:38" x14ac:dyDescent="0.2">
      <c r="A585" s="2" t="str">
        <f>HYPERLINK("https://www.compass.com/listing/738-broadway-unit-ph-manhattan-ny-10003/4852273526364701329/","738 Broadway, Unit PH")</f>
        <v>738 Broadway, Unit PH</v>
      </c>
      <c r="B585" s="2" t="str">
        <f>HYPERLINK("https://www.compass.com/building/738-broadway-manhattan-ny-10003/281894757351825157/","738 Broadway")</f>
        <v>738 Broadway</v>
      </c>
      <c r="C585" s="1" t="s">
        <v>144</v>
      </c>
      <c r="D585" s="1" t="s">
        <v>41</v>
      </c>
      <c r="E585" s="3">
        <v>4875000</v>
      </c>
      <c r="F585" s="1">
        <v>2034.6410684474099</v>
      </c>
      <c r="G585" s="1">
        <v>4</v>
      </c>
      <c r="H585" s="1">
        <v>2</v>
      </c>
      <c r="I585" s="1">
        <v>2</v>
      </c>
      <c r="J585" s="1">
        <v>2</v>
      </c>
      <c r="M585" s="4">
        <v>2396</v>
      </c>
      <c r="N585" s="1">
        <v>2758</v>
      </c>
      <c r="O585" s="1">
        <v>4253</v>
      </c>
      <c r="P585" s="1">
        <v>1495</v>
      </c>
      <c r="Q585" s="1" t="s">
        <v>42</v>
      </c>
      <c r="S585" s="1" t="s">
        <v>42</v>
      </c>
      <c r="T585" s="1" t="s">
        <v>153</v>
      </c>
      <c r="U585" s="1">
        <v>113</v>
      </c>
      <c r="V585" s="5">
        <v>43680</v>
      </c>
      <c r="W585" s="5">
        <v>42019</v>
      </c>
      <c r="X585" s="1">
        <v>5250000</v>
      </c>
      <c r="Y585" s="1">
        <v>5250000</v>
      </c>
      <c r="Z585" s="5">
        <v>42187</v>
      </c>
      <c r="AA585" s="1">
        <v>4875000</v>
      </c>
      <c r="AB585" s="1" t="s">
        <v>177</v>
      </c>
      <c r="AC585" s="5">
        <v>42278</v>
      </c>
      <c r="AF585" s="1">
        <v>10003</v>
      </c>
      <c r="AI585" s="1" t="s">
        <v>480</v>
      </c>
      <c r="AJ585" s="1">
        <v>1900</v>
      </c>
      <c r="AL585" s="1">
        <v>4</v>
      </c>
    </row>
    <row r="586" spans="1:38" x14ac:dyDescent="0.2">
      <c r="A586" s="2" t="str">
        <f>HYPERLINK("https://www.compass.com/listing/215-sullivan-street-unit-3d-manhattan-ny-10012/4852267404148868145/","215 Sullivan St, Unit 3D")</f>
        <v>215 Sullivan St, Unit 3D</v>
      </c>
      <c r="B586" s="2" t="str">
        <f t="shared" ref="B586:B587" si="92">HYPERLINK("https://www.compass.com/building/215-sullivan-st-manhattan-ny-10012/292810405493901557/","215 Sullivan St")</f>
        <v>215 Sullivan St</v>
      </c>
      <c r="C586" s="1" t="s">
        <v>159</v>
      </c>
      <c r="D586" s="1" t="s">
        <v>41</v>
      </c>
      <c r="E586" s="3">
        <v>5294900</v>
      </c>
      <c r="F586" s="1">
        <v>2241.7019475021102</v>
      </c>
      <c r="G586" s="1">
        <v>9</v>
      </c>
      <c r="H586" s="1">
        <v>3</v>
      </c>
      <c r="I586" s="1">
        <v>4</v>
      </c>
      <c r="J586" s="1">
        <v>3.5</v>
      </c>
      <c r="M586" s="4">
        <v>2362</v>
      </c>
      <c r="N586" s="1">
        <v>2748</v>
      </c>
      <c r="O586" s="1">
        <v>6508</v>
      </c>
      <c r="P586" s="1">
        <v>3760</v>
      </c>
      <c r="Q586" s="1" t="s">
        <v>42</v>
      </c>
      <c r="S586" s="1" t="s">
        <v>42</v>
      </c>
      <c r="T586" s="1" t="s">
        <v>153</v>
      </c>
      <c r="V586" s="5">
        <v>43603</v>
      </c>
      <c r="W586" s="5">
        <v>41975</v>
      </c>
      <c r="X586" s="1">
        <v>5550000</v>
      </c>
      <c r="Y586" s="1">
        <v>5550000</v>
      </c>
      <c r="Z586" s="5">
        <v>41975</v>
      </c>
      <c r="AA586" s="1">
        <v>5294900</v>
      </c>
      <c r="AB586" s="1" t="s">
        <v>481</v>
      </c>
      <c r="AC586" s="5">
        <v>42383</v>
      </c>
      <c r="AF586" s="1">
        <v>10012</v>
      </c>
      <c r="AI586" s="1" t="s">
        <v>364</v>
      </c>
      <c r="AJ586" s="1">
        <v>2014</v>
      </c>
      <c r="AK586" s="1" t="s">
        <v>86</v>
      </c>
      <c r="AL586" s="1">
        <v>25</v>
      </c>
    </row>
    <row r="587" spans="1:38" x14ac:dyDescent="0.2">
      <c r="A587" s="2" t="str">
        <f>HYPERLINK("https://www.compass.com/listing/215-sullivan-street-unit-3b-manhattan-ny-10012/4852325162827134833/","215 Sullivan St, Unit 3B")</f>
        <v>215 Sullivan St, Unit 3B</v>
      </c>
      <c r="B587" s="2" t="str">
        <f t="shared" si="92"/>
        <v>215 Sullivan St</v>
      </c>
      <c r="C587" s="1" t="s">
        <v>159</v>
      </c>
      <c r="D587" s="1" t="s">
        <v>41</v>
      </c>
      <c r="E587" s="3">
        <v>3344951</v>
      </c>
      <c r="F587" s="1">
        <v>2292.63262508567</v>
      </c>
      <c r="G587" s="1">
        <v>6</v>
      </c>
      <c r="H587" s="1">
        <v>2</v>
      </c>
      <c r="I587" s="1">
        <v>2</v>
      </c>
      <c r="J587" s="1">
        <v>2</v>
      </c>
      <c r="M587" s="4">
        <v>1459</v>
      </c>
      <c r="N587" s="1">
        <v>1679</v>
      </c>
      <c r="O587" s="1">
        <v>3976</v>
      </c>
      <c r="P587" s="1">
        <v>2297</v>
      </c>
      <c r="Q587" s="1" t="s">
        <v>42</v>
      </c>
      <c r="S587" s="1" t="s">
        <v>42</v>
      </c>
      <c r="T587" s="1" t="s">
        <v>153</v>
      </c>
      <c r="V587" s="5">
        <v>43654</v>
      </c>
      <c r="W587" s="5">
        <v>41976</v>
      </c>
      <c r="X587" s="1">
        <v>3425000</v>
      </c>
      <c r="Y587" s="1">
        <v>3425000</v>
      </c>
      <c r="Z587" s="5">
        <v>41976</v>
      </c>
      <c r="AA587" s="1">
        <v>3344951</v>
      </c>
      <c r="AB587" s="1" t="s">
        <v>482</v>
      </c>
      <c r="AC587" s="5">
        <v>42376</v>
      </c>
      <c r="AF587" s="1">
        <v>10012</v>
      </c>
      <c r="AI587" s="1" t="s">
        <v>45</v>
      </c>
      <c r="AJ587" s="1">
        <v>2014</v>
      </c>
      <c r="AK587" s="1" t="s">
        <v>99</v>
      </c>
      <c r="AL587" s="1">
        <v>25</v>
      </c>
    </row>
    <row r="588" spans="1:38" x14ac:dyDescent="0.2">
      <c r="A588" s="2" t="str">
        <f>HYPERLINK("https://www.compass.com/listing/738-broadway-unit-2-manhattan-ny-10003/29364090979832737/","738 Broadway, Unit 2")</f>
        <v>738 Broadway, Unit 2</v>
      </c>
      <c r="B588" s="2" t="str">
        <f>HYPERLINK("https://www.compass.com/building/738-broadway-manhattan-ny-10003/281894757351825157/","738 Broadway")</f>
        <v>738 Broadway</v>
      </c>
      <c r="C588" s="1" t="s">
        <v>144</v>
      </c>
      <c r="D588" s="1" t="s">
        <v>41</v>
      </c>
      <c r="E588" s="3">
        <v>3850000</v>
      </c>
      <c r="F588" s="1">
        <v>1606.8447412353901</v>
      </c>
      <c r="G588" s="1">
        <v>4</v>
      </c>
      <c r="H588" s="1">
        <v>2</v>
      </c>
      <c r="I588" s="1">
        <v>2</v>
      </c>
      <c r="J588" s="1">
        <v>2</v>
      </c>
      <c r="M588" s="4">
        <v>2396</v>
      </c>
      <c r="N588" s="1">
        <v>1799</v>
      </c>
      <c r="O588" s="1">
        <v>2774</v>
      </c>
      <c r="P588" s="1">
        <v>975</v>
      </c>
      <c r="Q588" s="1" t="s">
        <v>42</v>
      </c>
      <c r="S588" s="1" t="s">
        <v>42</v>
      </c>
      <c r="T588" s="1" t="s">
        <v>153</v>
      </c>
      <c r="U588" s="1">
        <v>33</v>
      </c>
      <c r="V588" s="5">
        <v>43685</v>
      </c>
      <c r="W588" s="5">
        <v>41916</v>
      </c>
      <c r="X588" s="1">
        <v>3995000</v>
      </c>
      <c r="Y588" s="1">
        <v>3995000</v>
      </c>
      <c r="Z588" s="5">
        <v>41949</v>
      </c>
      <c r="AA588" s="1">
        <v>3850000</v>
      </c>
      <c r="AB588" s="1" t="s">
        <v>483</v>
      </c>
      <c r="AC588" s="5">
        <v>41996</v>
      </c>
      <c r="AF588" s="1">
        <v>10003</v>
      </c>
      <c r="AJ588" s="1">
        <v>1900</v>
      </c>
      <c r="AL588" s="1">
        <v>4</v>
      </c>
    </row>
    <row r="589" spans="1:38" x14ac:dyDescent="0.2">
      <c r="A589" s="2" t="str">
        <f>HYPERLINK("https://www.compass.com/listing/2-park-place-unit-45b-manhattan-ny-10007/455492379819071929/","2 Park Pl, Unit 45B")</f>
        <v>2 Park Pl, Unit 45B</v>
      </c>
      <c r="B589" s="2" t="str">
        <f>HYPERLINK("https://www.compass.com/building/the-woolworth-tower-residences-manhattan-ny/294842395015266853/","The Woolworth Tower Residences")</f>
        <v>The Woolworth Tower Residences</v>
      </c>
      <c r="C589" s="1" t="s">
        <v>65</v>
      </c>
      <c r="D589" s="1" t="s">
        <v>41</v>
      </c>
      <c r="E589" s="3">
        <v>2500000</v>
      </c>
      <c r="F589" s="1">
        <v>1931.99381761978</v>
      </c>
      <c r="H589" s="1">
        <v>1</v>
      </c>
      <c r="J589" s="1">
        <v>1.5</v>
      </c>
      <c r="K589" s="1">
        <v>1</v>
      </c>
      <c r="L589" s="1">
        <v>1</v>
      </c>
      <c r="M589" s="4">
        <v>1294</v>
      </c>
      <c r="N589" s="1">
        <v>1942</v>
      </c>
      <c r="O589" s="1">
        <v>3758</v>
      </c>
      <c r="P589" s="1">
        <v>1816</v>
      </c>
      <c r="Q589" s="1" t="s">
        <v>42</v>
      </c>
      <c r="S589" s="1" t="s">
        <v>42</v>
      </c>
      <c r="T589" s="1" t="s">
        <v>153</v>
      </c>
      <c r="AA589" s="1">
        <v>2500000</v>
      </c>
      <c r="AB589" s="1" t="s">
        <v>484</v>
      </c>
      <c r="AC589" s="5">
        <v>43644</v>
      </c>
      <c r="AF589" s="1">
        <v>10007</v>
      </c>
      <c r="AJ589" s="1">
        <v>1913</v>
      </c>
      <c r="AK589" s="1" t="s">
        <v>49</v>
      </c>
      <c r="AL589" s="1">
        <v>32</v>
      </c>
    </row>
    <row r="590" spans="1:38" x14ac:dyDescent="0.2">
      <c r="A590" s="2" t="str">
        <f>HYPERLINK("https://www.compass.com/listing/215-sullivan-street-unit-5b-manhattan-ny-10012/4852325652763772817/","215 Sullivan St, Unit 5B")</f>
        <v>215 Sullivan St, Unit 5B</v>
      </c>
      <c r="B590" s="2" t="str">
        <f t="shared" ref="B590:B591" si="93">HYPERLINK("https://www.compass.com/building/215-sullivan-st-manhattan-ny-10012/292810405493901557/","215 Sullivan St")</f>
        <v>215 Sullivan St</v>
      </c>
      <c r="C590" s="1" t="s">
        <v>159</v>
      </c>
      <c r="D590" s="1" t="s">
        <v>41</v>
      </c>
      <c r="E590" s="3">
        <v>3691156</v>
      </c>
      <c r="F590" s="1">
        <v>2529.9218642906098</v>
      </c>
      <c r="G590" s="1">
        <v>9</v>
      </c>
      <c r="H590" s="1">
        <v>2</v>
      </c>
      <c r="I590" s="1">
        <v>3</v>
      </c>
      <c r="J590" s="1">
        <v>2.5</v>
      </c>
      <c r="M590" s="4">
        <v>1459</v>
      </c>
      <c r="N590" s="1">
        <v>1679</v>
      </c>
      <c r="O590" s="1">
        <v>3976</v>
      </c>
      <c r="P590" s="1">
        <v>2297</v>
      </c>
      <c r="Q590" s="1" t="s">
        <v>42</v>
      </c>
      <c r="S590" s="1" t="s">
        <v>42</v>
      </c>
      <c r="T590" s="1" t="s">
        <v>153</v>
      </c>
      <c r="V590" s="5">
        <v>43650</v>
      </c>
      <c r="W590" s="5">
        <v>41976</v>
      </c>
      <c r="X590" s="1">
        <v>3625000</v>
      </c>
      <c r="Y590" s="1">
        <v>3625000</v>
      </c>
      <c r="Z590" s="5">
        <v>41976</v>
      </c>
      <c r="AA590" s="1">
        <v>3691156</v>
      </c>
      <c r="AB590" s="1" t="s">
        <v>485</v>
      </c>
      <c r="AC590" s="5">
        <v>42390</v>
      </c>
      <c r="AF590" s="1">
        <v>10012</v>
      </c>
      <c r="AI590" s="1" t="s">
        <v>45</v>
      </c>
      <c r="AJ590" s="1">
        <v>2014</v>
      </c>
      <c r="AK590" s="1" t="s">
        <v>99</v>
      </c>
      <c r="AL590" s="1">
        <v>25</v>
      </c>
    </row>
    <row r="591" spans="1:38" x14ac:dyDescent="0.2">
      <c r="A591" s="2" t="str">
        <f>HYPERLINK("https://www.compass.com/listing/215-sullivan-street-unit-thb-manhattan-ny-10012/4852325043952160993/","215 Sullivan St, Unit THB")</f>
        <v>215 Sullivan St, Unit THB</v>
      </c>
      <c r="B591" s="2" t="str">
        <f t="shared" si="93"/>
        <v>215 Sullivan St</v>
      </c>
      <c r="C591" s="1" t="s">
        <v>159</v>
      </c>
      <c r="D591" s="1" t="s">
        <v>41</v>
      </c>
      <c r="E591" s="3">
        <v>10182500</v>
      </c>
      <c r="F591" s="1">
        <v>2876.4124293785299</v>
      </c>
      <c r="G591" s="1">
        <v>17</v>
      </c>
      <c r="H591" s="1">
        <v>4</v>
      </c>
      <c r="I591" s="1">
        <v>5</v>
      </c>
      <c r="J591" s="1">
        <v>4.5</v>
      </c>
      <c r="M591" s="4">
        <v>3540</v>
      </c>
      <c r="N591" s="1">
        <v>5513</v>
      </c>
      <c r="O591" s="1">
        <v>12163</v>
      </c>
      <c r="P591" s="1">
        <v>6650</v>
      </c>
      <c r="Q591" s="1" t="s">
        <v>42</v>
      </c>
      <c r="S591" s="1" t="s">
        <v>42</v>
      </c>
      <c r="T591" s="1" t="s">
        <v>153</v>
      </c>
      <c r="V591" s="5">
        <v>43650</v>
      </c>
      <c r="W591" s="5">
        <v>41976</v>
      </c>
      <c r="X591" s="1">
        <v>10500000</v>
      </c>
      <c r="Y591" s="1">
        <v>10500000</v>
      </c>
      <c r="Z591" s="5">
        <v>41976</v>
      </c>
      <c r="AA591" s="1">
        <v>10182500</v>
      </c>
      <c r="AB591" s="1" t="s">
        <v>486</v>
      </c>
      <c r="AC591" s="5">
        <v>42369</v>
      </c>
      <c r="AF591" s="1">
        <v>10012</v>
      </c>
      <c r="AI591" s="1" t="s">
        <v>80</v>
      </c>
      <c r="AJ591" s="1">
        <v>2014</v>
      </c>
      <c r="AK591" s="1" t="s">
        <v>99</v>
      </c>
      <c r="AL591" s="1">
        <v>25</v>
      </c>
    </row>
    <row r="592" spans="1:38" x14ac:dyDescent="0.2">
      <c r="A592" s="2" t="str">
        <f>HYPERLINK("https://www.compass.com/listing/2-park-place-unit-41b-manhattan-ny-10007/518540487878398945/","2 Park Pl, Unit 41B")</f>
        <v>2 Park Pl, Unit 41B</v>
      </c>
      <c r="B592" s="2" t="str">
        <f t="shared" ref="B592:B593" si="94">HYPERLINK("https://www.compass.com/building/the-woolworth-tower-residences-manhattan-ny/294842395015266853/","The Woolworth Tower Residences")</f>
        <v>The Woolworth Tower Residences</v>
      </c>
      <c r="C592" s="1" t="s">
        <v>65</v>
      </c>
      <c r="D592" s="1" t="s">
        <v>41</v>
      </c>
      <c r="E592" s="3">
        <v>5680000</v>
      </c>
      <c r="F592" s="1">
        <v>2229.1993720565101</v>
      </c>
      <c r="H592" s="1">
        <v>2</v>
      </c>
      <c r="J592" s="1">
        <v>2.5</v>
      </c>
      <c r="K592" s="1">
        <v>2</v>
      </c>
      <c r="L592" s="1">
        <v>1</v>
      </c>
      <c r="M592" s="4">
        <v>2548</v>
      </c>
      <c r="N592" s="1">
        <v>4307</v>
      </c>
      <c r="O592" s="1">
        <v>7897</v>
      </c>
      <c r="P592" s="1">
        <v>3590</v>
      </c>
      <c r="Q592" s="1" t="s">
        <v>42</v>
      </c>
      <c r="S592" s="1" t="s">
        <v>42</v>
      </c>
      <c r="T592" s="1" t="s">
        <v>153</v>
      </c>
      <c r="AA592" s="1">
        <v>5680000</v>
      </c>
      <c r="AB592" s="1" t="s">
        <v>487</v>
      </c>
      <c r="AC592" s="5">
        <v>43956</v>
      </c>
      <c r="AF592" s="1">
        <v>10007</v>
      </c>
      <c r="AJ592" s="1">
        <v>1913</v>
      </c>
      <c r="AK592" s="1" t="s">
        <v>49</v>
      </c>
      <c r="AL592" s="1">
        <v>32</v>
      </c>
    </row>
    <row r="593" spans="1:38" x14ac:dyDescent="0.2">
      <c r="A593" s="2" t="str">
        <f>HYPERLINK("https://www.compass.com/listing/2-park-place-unit-41a-manhattan-ny-10007/841527731879977913/","2 Park Pl, Unit 41A")</f>
        <v>2 Park Pl, Unit 41A</v>
      </c>
      <c r="B593" s="2" t="str">
        <f t="shared" si="94"/>
        <v>The Woolworth Tower Residences</v>
      </c>
      <c r="C593" s="1" t="s">
        <v>65</v>
      </c>
      <c r="D593" s="1" t="s">
        <v>41</v>
      </c>
      <c r="E593" s="3">
        <v>9300000</v>
      </c>
      <c r="F593" s="1">
        <v>2833.6380255941499</v>
      </c>
      <c r="H593" s="1">
        <v>3</v>
      </c>
      <c r="J593" s="1">
        <v>3.5</v>
      </c>
      <c r="K593" s="1">
        <v>3</v>
      </c>
      <c r="L593" s="1">
        <v>1</v>
      </c>
      <c r="M593" s="4">
        <v>3282</v>
      </c>
      <c r="N593" s="1">
        <v>4925</v>
      </c>
      <c r="O593" s="1">
        <v>9531</v>
      </c>
      <c r="P593" s="1">
        <v>4606</v>
      </c>
      <c r="Q593" s="1" t="s">
        <v>42</v>
      </c>
      <c r="S593" s="1" t="s">
        <v>42</v>
      </c>
      <c r="T593" s="1" t="s">
        <v>153</v>
      </c>
      <c r="AA593" s="1">
        <v>9300000</v>
      </c>
      <c r="AB593" s="1" t="s">
        <v>488</v>
      </c>
      <c r="AC593" s="5">
        <v>43616</v>
      </c>
      <c r="AF593" s="1">
        <v>10007</v>
      </c>
      <c r="AJ593" s="1">
        <v>1913</v>
      </c>
      <c r="AK593" s="1" t="s">
        <v>49</v>
      </c>
      <c r="AL593" s="1">
        <v>32</v>
      </c>
    </row>
    <row r="594" spans="1:38" x14ac:dyDescent="0.2">
      <c r="A594" s="2" t="str">
        <f>HYPERLINK("https://www.compass.com/listing/21-west-20th-street-unit-ph1-manhattan-ny-10011/4777764306357871873/","21 W 20th St, Unit PH1")</f>
        <v>21 W 20th St, Unit PH1</v>
      </c>
      <c r="B594" s="2" t="str">
        <f>HYPERLINK("https://www.compass.com/building/21w20-manhattan-ny/281906757389799461/","21W20")</f>
        <v>21W20</v>
      </c>
      <c r="C594" s="1" t="s">
        <v>56</v>
      </c>
      <c r="D594" s="1" t="s">
        <v>41</v>
      </c>
      <c r="E594" s="3">
        <v>9350000</v>
      </c>
      <c r="F594" s="1">
        <v>1931.4191282792799</v>
      </c>
      <c r="G594" s="1">
        <v>6.5</v>
      </c>
      <c r="H594" s="1">
        <v>4</v>
      </c>
      <c r="I594" s="1">
        <v>5</v>
      </c>
      <c r="J594" s="1">
        <v>4.5</v>
      </c>
      <c r="M594" s="4">
        <v>4841</v>
      </c>
      <c r="N594" s="1">
        <v>9076</v>
      </c>
      <c r="O594" s="1">
        <v>11466</v>
      </c>
      <c r="P594" s="1">
        <v>2390</v>
      </c>
      <c r="Q594" s="1" t="s">
        <v>42</v>
      </c>
      <c r="S594" s="1" t="s">
        <v>42</v>
      </c>
      <c r="T594" s="1" t="s">
        <v>153</v>
      </c>
      <c r="U594" s="1">
        <v>213</v>
      </c>
      <c r="V594" s="5">
        <v>43606</v>
      </c>
      <c r="W594" s="5">
        <v>42878</v>
      </c>
      <c r="X594" s="1">
        <v>11950000</v>
      </c>
      <c r="Y594" s="1">
        <v>10950000</v>
      </c>
      <c r="Z594" s="5">
        <v>43092</v>
      </c>
      <c r="AA594" s="1">
        <v>10950000</v>
      </c>
      <c r="AB594" s="1" t="s">
        <v>177</v>
      </c>
      <c r="AC594" s="5">
        <v>43143</v>
      </c>
      <c r="AF594" s="1">
        <v>10011</v>
      </c>
      <c r="AI594" s="1" t="s">
        <v>489</v>
      </c>
      <c r="AJ594" s="1">
        <v>2016</v>
      </c>
      <c r="AK594" s="1" t="s">
        <v>49</v>
      </c>
      <c r="AL594" s="1">
        <v>13</v>
      </c>
    </row>
    <row r="595" spans="1:38" x14ac:dyDescent="0.2">
      <c r="A595" s="2" t="str">
        <f>HYPERLINK("https://www.compass.com/listing/215-sullivan-street-unit-6d-manhattan-ny-10012/192573212410901377/","215 Sullivan St, Unit 6D")</f>
        <v>215 Sullivan St, Unit 6D</v>
      </c>
      <c r="B595" s="2" t="str">
        <f>HYPERLINK("https://www.compass.com/building/215-sullivan-st-manhattan-ny-10012/292810405493901557/","215 Sullivan St")</f>
        <v>215 Sullivan St</v>
      </c>
      <c r="C595" s="1" t="s">
        <v>159</v>
      </c>
      <c r="D595" s="1" t="s">
        <v>41</v>
      </c>
      <c r="E595" s="3">
        <v>5500000</v>
      </c>
      <c r="F595" s="1">
        <v>3103.8374717832899</v>
      </c>
      <c r="G595" s="1">
        <v>9</v>
      </c>
      <c r="H595" s="1">
        <v>3</v>
      </c>
      <c r="I595" s="1">
        <v>3</v>
      </c>
      <c r="J595" s="1">
        <v>3</v>
      </c>
      <c r="M595" s="4">
        <v>1772</v>
      </c>
      <c r="N595" s="1">
        <v>2531</v>
      </c>
      <c r="O595" s="1">
        <v>5472</v>
      </c>
      <c r="P595" s="1">
        <v>2941</v>
      </c>
      <c r="Q595" s="1" t="s">
        <v>42</v>
      </c>
      <c r="S595" s="1" t="s">
        <v>42</v>
      </c>
      <c r="T595" s="1" t="s">
        <v>153</v>
      </c>
      <c r="U595" s="1">
        <v>3</v>
      </c>
      <c r="V595" s="5">
        <v>42439</v>
      </c>
      <c r="W595" s="5">
        <v>41698</v>
      </c>
      <c r="X595" s="1">
        <v>5000000</v>
      </c>
      <c r="Y595" s="1">
        <v>5000000</v>
      </c>
      <c r="Z595" s="5">
        <v>41702</v>
      </c>
      <c r="AA595" s="1">
        <v>5500000</v>
      </c>
      <c r="AB595" s="1" t="s">
        <v>254</v>
      </c>
      <c r="AC595" s="5">
        <v>42461</v>
      </c>
      <c r="AF595" s="1">
        <v>10012</v>
      </c>
      <c r="AI595" s="1" t="s">
        <v>80</v>
      </c>
      <c r="AJ595" s="1">
        <v>2014</v>
      </c>
      <c r="AK595" s="1" t="s">
        <v>99</v>
      </c>
      <c r="AL595" s="1">
        <v>25</v>
      </c>
    </row>
    <row r="596" spans="1:38" x14ac:dyDescent="0.2">
      <c r="A596" s="2" t="str">
        <f>HYPERLINK("https://www.compass.com/listing/160-east-22nd-street-unit-16d-manhattan-ny-10010/262997515656236209/","160 E 22nd St, Unit 16D")</f>
        <v>160 E 22nd St, Unit 16D</v>
      </c>
      <c r="B596" s="2" t="str">
        <f>HYPERLINK("https://www.compass.com/building/160-e-22nd-st-manhattan-ny-10010/292796862321154661/","160 E 22nd St")</f>
        <v>160 E 22nd St</v>
      </c>
      <c r="C596" s="1" t="s">
        <v>54</v>
      </c>
      <c r="D596" s="1" t="s">
        <v>41</v>
      </c>
      <c r="E596" s="3">
        <v>1500000</v>
      </c>
      <c r="F596" s="1">
        <v>1800.72028811524</v>
      </c>
      <c r="G596" s="1">
        <v>3</v>
      </c>
      <c r="H596" s="1">
        <v>1</v>
      </c>
      <c r="I596" s="1">
        <v>1</v>
      </c>
      <c r="J596" s="1">
        <v>1</v>
      </c>
      <c r="K596" s="1">
        <v>1</v>
      </c>
      <c r="M596" s="1">
        <v>833</v>
      </c>
      <c r="N596" s="1">
        <v>966</v>
      </c>
      <c r="O596" s="1">
        <v>2275</v>
      </c>
      <c r="P596" s="1">
        <v>1309</v>
      </c>
      <c r="Q596" s="1" t="s">
        <v>42</v>
      </c>
      <c r="S596" s="1" t="s">
        <v>42</v>
      </c>
      <c r="T596" s="1" t="s">
        <v>153</v>
      </c>
      <c r="U596" s="1">
        <v>128</v>
      </c>
      <c r="V596" s="5">
        <v>43830</v>
      </c>
      <c r="W596" s="5">
        <v>43615</v>
      </c>
      <c r="X596" s="1">
        <v>1690000</v>
      </c>
      <c r="Y596" s="1">
        <v>1525000</v>
      </c>
      <c r="Z596" s="5">
        <v>43743</v>
      </c>
      <c r="AA596" s="1">
        <v>1500000</v>
      </c>
      <c r="AB596" s="1" t="s">
        <v>490</v>
      </c>
      <c r="AC596" s="5">
        <v>43818</v>
      </c>
      <c r="AF596" s="1">
        <v>10010</v>
      </c>
      <c r="AI596" s="1" t="s">
        <v>87</v>
      </c>
      <c r="AJ596" s="1">
        <v>2012</v>
      </c>
      <c r="AK596" s="1" t="s">
        <v>46</v>
      </c>
      <c r="AL596" s="1">
        <v>81</v>
      </c>
    </row>
    <row r="597" spans="1:38" x14ac:dyDescent="0.2">
      <c r="A597" s="2" t="str">
        <f>HYPERLINK("https://www.compass.com/listing/215-sullivan-street-unit-3e-manhattan-ny-10012/4852324592158509441/","215 Sullivan St, Unit 3E")</f>
        <v>215 Sullivan St, Unit 3E</v>
      </c>
      <c r="B597" s="2" t="str">
        <f t="shared" ref="B597:B598" si="95">HYPERLINK("https://www.compass.com/building/215-sullivan-st-manhattan-ny-10012/292810405493901557/","215 Sullivan St")</f>
        <v>215 Sullivan St</v>
      </c>
      <c r="C597" s="1" t="s">
        <v>159</v>
      </c>
      <c r="D597" s="1" t="s">
        <v>41</v>
      </c>
      <c r="E597" s="3">
        <v>4327562</v>
      </c>
      <c r="F597" s="1">
        <v>2345.5620596205899</v>
      </c>
      <c r="G597" s="1">
        <v>8</v>
      </c>
      <c r="H597" s="1">
        <v>3</v>
      </c>
      <c r="I597" s="1">
        <v>3</v>
      </c>
      <c r="J597" s="1">
        <v>3</v>
      </c>
      <c r="K597" s="1">
        <v>3</v>
      </c>
      <c r="M597" s="4">
        <v>1845</v>
      </c>
      <c r="N597" s="1">
        <v>2151</v>
      </c>
      <c r="O597" s="1">
        <v>5094</v>
      </c>
      <c r="P597" s="1">
        <v>2943</v>
      </c>
      <c r="Q597" s="1" t="s">
        <v>42</v>
      </c>
      <c r="S597" s="1" t="s">
        <v>42</v>
      </c>
      <c r="T597" s="1" t="s">
        <v>153</v>
      </c>
      <c r="V597" s="5">
        <v>44364</v>
      </c>
      <c r="W597" s="5">
        <v>41976</v>
      </c>
      <c r="X597" s="1">
        <v>4275000</v>
      </c>
      <c r="Y597" s="1">
        <v>4275000</v>
      </c>
      <c r="Z597" s="5">
        <v>41976</v>
      </c>
      <c r="AA597" s="1">
        <v>4327562</v>
      </c>
      <c r="AB597" s="1" t="s">
        <v>491</v>
      </c>
      <c r="AC597" s="5">
        <v>42362</v>
      </c>
      <c r="AF597" s="1">
        <v>10012</v>
      </c>
      <c r="AI597" s="1" t="s">
        <v>233</v>
      </c>
      <c r="AJ597" s="1">
        <v>2014</v>
      </c>
      <c r="AK597" s="1" t="s">
        <v>99</v>
      </c>
      <c r="AL597" s="1">
        <v>25</v>
      </c>
    </row>
    <row r="598" spans="1:38" x14ac:dyDescent="0.2">
      <c r="A598" s="2" t="str">
        <f>HYPERLINK("https://www.compass.com/listing/215-sullivan-street-unit-6d-manhattan-ny-10012/616310314885379465/","215 Sullivan St, Unit 6D")</f>
        <v>215 Sullivan St, Unit 6D</v>
      </c>
      <c r="B598" s="2" t="str">
        <f t="shared" si="95"/>
        <v>215 Sullivan St</v>
      </c>
      <c r="C598" s="1" t="s">
        <v>159</v>
      </c>
      <c r="D598" s="1" t="s">
        <v>41</v>
      </c>
      <c r="E598" s="3">
        <v>4636125</v>
      </c>
      <c r="F598" s="1">
        <v>2616.32336343115</v>
      </c>
      <c r="H598" s="1">
        <v>3</v>
      </c>
      <c r="J598" s="1">
        <v>3</v>
      </c>
      <c r="M598" s="4">
        <v>1772</v>
      </c>
      <c r="N598" s="1">
        <v>2531</v>
      </c>
      <c r="O598" s="1">
        <v>5472</v>
      </c>
      <c r="P598" s="1">
        <v>2941</v>
      </c>
      <c r="Q598" s="1" t="s">
        <v>42</v>
      </c>
      <c r="S598" s="1" t="s">
        <v>42</v>
      </c>
      <c r="T598" s="1" t="s">
        <v>153</v>
      </c>
      <c r="AA598" s="1">
        <v>4636125</v>
      </c>
      <c r="AB598" s="1" t="s">
        <v>492</v>
      </c>
      <c r="AC598" s="5">
        <v>42389</v>
      </c>
      <c r="AF598" s="1">
        <v>10012</v>
      </c>
      <c r="AI598" s="1" t="s">
        <v>45</v>
      </c>
      <c r="AJ598" s="1">
        <v>2014</v>
      </c>
      <c r="AK598" s="1" t="s">
        <v>99</v>
      </c>
      <c r="AL598" s="1">
        <v>25</v>
      </c>
    </row>
    <row r="599" spans="1:38" x14ac:dyDescent="0.2">
      <c r="A599" s="2" t="str">
        <f>HYPERLINK("https://www.compass.com/listing/438-east-12th-street-unit-3j-manhattan-ny-10009/29361649911685601/","438 E 12th St, Unit 3J")</f>
        <v>438 E 12th St, Unit 3J</v>
      </c>
      <c r="B599" s="2" t="str">
        <f t="shared" ref="B599:B602" si="96">HYPERLINK("https://www.compass.com/building/steiner-east-village-manhattan-ny/281900317572873557/","Steiner East Village")</f>
        <v>Steiner East Village</v>
      </c>
      <c r="C599" s="1" t="s">
        <v>52</v>
      </c>
      <c r="D599" s="1" t="s">
        <v>41</v>
      </c>
      <c r="E599" s="3">
        <v>2295000</v>
      </c>
      <c r="F599" s="1">
        <v>1997.38903394255</v>
      </c>
      <c r="H599" s="1">
        <v>2</v>
      </c>
      <c r="J599" s="1">
        <v>2</v>
      </c>
      <c r="M599" s="4">
        <v>1149</v>
      </c>
      <c r="N599" s="1">
        <v>1463</v>
      </c>
      <c r="O599" s="1">
        <v>4233</v>
      </c>
      <c r="P599" s="1">
        <v>2770</v>
      </c>
      <c r="Q599" s="1" t="s">
        <v>42</v>
      </c>
      <c r="S599" s="1" t="s">
        <v>42</v>
      </c>
      <c r="T599" s="1" t="s">
        <v>153</v>
      </c>
      <c r="AA599" s="1">
        <v>2295000</v>
      </c>
      <c r="AB599" s="1" t="s">
        <v>493</v>
      </c>
      <c r="AC599" s="5">
        <v>43185</v>
      </c>
      <c r="AF599" s="1">
        <v>10009</v>
      </c>
      <c r="AI599" s="1" t="s">
        <v>53</v>
      </c>
      <c r="AJ599" s="1">
        <v>2017</v>
      </c>
      <c r="AK599" s="1" t="s">
        <v>49</v>
      </c>
      <c r="AL599" s="1">
        <v>82</v>
      </c>
    </row>
    <row r="600" spans="1:38" x14ac:dyDescent="0.2">
      <c r="A600" s="2" t="str">
        <f>HYPERLINK("https://www.compass.com/listing/438-east-12th-street-unit-3p-manhattan-ny-10009/451869418130470985/","438 E 12th St, Unit 3P")</f>
        <v>438 E 12th St, Unit 3P</v>
      </c>
      <c r="B600" s="2" t="str">
        <f t="shared" si="96"/>
        <v>Steiner East Village</v>
      </c>
      <c r="C600" s="1" t="s">
        <v>52</v>
      </c>
      <c r="D600" s="1" t="s">
        <v>41</v>
      </c>
      <c r="E600" s="3">
        <v>1535000</v>
      </c>
      <c r="F600" s="1">
        <v>2318.7311178247701</v>
      </c>
      <c r="H600" s="1">
        <v>1</v>
      </c>
      <c r="J600" s="1">
        <v>1</v>
      </c>
      <c r="M600" s="1">
        <v>662</v>
      </c>
      <c r="N600" s="1">
        <v>695</v>
      </c>
      <c r="O600" s="1">
        <v>1638</v>
      </c>
      <c r="P600" s="1">
        <v>943</v>
      </c>
      <c r="Q600" s="1" t="s">
        <v>42</v>
      </c>
      <c r="S600" s="1" t="s">
        <v>42</v>
      </c>
      <c r="T600" s="1" t="s">
        <v>153</v>
      </c>
      <c r="AA600" s="1">
        <v>1535000</v>
      </c>
      <c r="AB600" s="1" t="s">
        <v>494</v>
      </c>
      <c r="AC600" s="5">
        <v>43871</v>
      </c>
      <c r="AF600" s="1">
        <v>10009</v>
      </c>
      <c r="AI600" s="1" t="s">
        <v>53</v>
      </c>
      <c r="AJ600" s="1">
        <v>2017</v>
      </c>
      <c r="AK600" s="1" t="s">
        <v>49</v>
      </c>
      <c r="AL600" s="1">
        <v>82</v>
      </c>
    </row>
    <row r="601" spans="1:38" x14ac:dyDescent="0.2">
      <c r="A601" s="2" t="str">
        <f>HYPERLINK("https://www.compass.com/listing/438-east-12th-street-unit-3a-manhattan-ny-10009/483751339384558569/","438 E 12th St, Unit 3A")</f>
        <v>438 E 12th St, Unit 3A</v>
      </c>
      <c r="B601" s="2" t="str">
        <f t="shared" si="96"/>
        <v>Steiner East Village</v>
      </c>
      <c r="C601" s="1" t="s">
        <v>52</v>
      </c>
      <c r="D601" s="1" t="s">
        <v>41</v>
      </c>
      <c r="E601" s="3">
        <v>1349181</v>
      </c>
      <c r="F601" s="1">
        <v>1813.41565860215</v>
      </c>
      <c r="H601" s="1">
        <v>1</v>
      </c>
      <c r="J601" s="1">
        <v>1</v>
      </c>
      <c r="K601" s="1">
        <v>1</v>
      </c>
      <c r="M601" s="1">
        <v>744</v>
      </c>
      <c r="N601" s="1">
        <v>782</v>
      </c>
      <c r="O601" s="1">
        <v>1842</v>
      </c>
      <c r="P601" s="1">
        <v>1060</v>
      </c>
      <c r="Q601" s="1" t="s">
        <v>42</v>
      </c>
      <c r="S601" s="1" t="s">
        <v>42</v>
      </c>
      <c r="T601" s="1" t="s">
        <v>153</v>
      </c>
      <c r="AA601" s="1">
        <v>1349181.25</v>
      </c>
      <c r="AB601" s="1" t="s">
        <v>495</v>
      </c>
      <c r="AC601" s="5">
        <v>43173</v>
      </c>
      <c r="AF601" s="1">
        <v>10009</v>
      </c>
      <c r="AI601" s="1" t="s">
        <v>53</v>
      </c>
      <c r="AJ601" s="1">
        <v>2017</v>
      </c>
      <c r="AK601" s="1" t="s">
        <v>49</v>
      </c>
      <c r="AL601" s="1">
        <v>82</v>
      </c>
    </row>
    <row r="602" spans="1:38" x14ac:dyDescent="0.2">
      <c r="A602" s="2" t="str">
        <f>HYPERLINK("https://www.compass.com/listing/438-east-12th-street-unit-5a-manhattan-ny-10009/785147829672716825/","438 E 12th St, Unit 5A")</f>
        <v>438 E 12th St, Unit 5A</v>
      </c>
      <c r="B602" s="2" t="str">
        <f t="shared" si="96"/>
        <v>Steiner East Village</v>
      </c>
      <c r="C602" s="1" t="s">
        <v>52</v>
      </c>
      <c r="D602" s="1" t="s">
        <v>41</v>
      </c>
      <c r="E602" s="3">
        <v>1560000</v>
      </c>
      <c r="F602" s="1">
        <v>2096.77419354838</v>
      </c>
      <c r="H602" s="1">
        <v>1</v>
      </c>
      <c r="J602" s="1">
        <v>1</v>
      </c>
      <c r="K602" s="1">
        <v>1</v>
      </c>
      <c r="M602" s="1">
        <v>744</v>
      </c>
      <c r="N602" s="1">
        <v>778</v>
      </c>
      <c r="O602" s="1">
        <v>1832</v>
      </c>
      <c r="P602" s="1">
        <v>1054</v>
      </c>
      <c r="Q602" s="1" t="s">
        <v>42</v>
      </c>
      <c r="S602" s="1" t="s">
        <v>42</v>
      </c>
      <c r="T602" s="1" t="s">
        <v>153</v>
      </c>
      <c r="AA602" s="1">
        <v>1560000</v>
      </c>
      <c r="AB602" s="1" t="s">
        <v>496</v>
      </c>
      <c r="AC602" s="5">
        <v>43732</v>
      </c>
      <c r="AF602" s="1">
        <v>10009</v>
      </c>
      <c r="AI602" s="1" t="s">
        <v>53</v>
      </c>
      <c r="AJ602" s="1">
        <v>2017</v>
      </c>
      <c r="AK602" s="1" t="s">
        <v>49</v>
      </c>
      <c r="AL602" s="1">
        <v>82</v>
      </c>
    </row>
    <row r="603" spans="1:38" x14ac:dyDescent="0.2">
      <c r="A603" s="2" t="str">
        <f>HYPERLINK("https://www.compass.com/listing/215-sullivan-street-unit-6c-manhattan-ny-10012/4852264069735916401/","215 Sullivan St, Unit 6C")</f>
        <v>215 Sullivan St, Unit 6C</v>
      </c>
      <c r="B603" s="2" t="str">
        <f t="shared" ref="B603:B607" si="97">HYPERLINK("https://www.compass.com/building/215-sullivan-st-manhattan-ny-10012/292810405493901557/","215 Sullivan St")</f>
        <v>215 Sullivan St</v>
      </c>
      <c r="C603" s="1" t="s">
        <v>159</v>
      </c>
      <c r="D603" s="1" t="s">
        <v>41</v>
      </c>
      <c r="E603" s="3">
        <v>8400563</v>
      </c>
      <c r="F603" s="1">
        <v>3298.2184923439299</v>
      </c>
      <c r="G603" s="1">
        <v>6</v>
      </c>
      <c r="H603" s="1">
        <v>3</v>
      </c>
      <c r="I603" s="1">
        <v>4</v>
      </c>
      <c r="J603" s="1">
        <v>3.5</v>
      </c>
      <c r="M603" s="4">
        <v>2547</v>
      </c>
      <c r="N603" s="1">
        <v>3254</v>
      </c>
      <c r="O603" s="1">
        <v>7707</v>
      </c>
      <c r="P603" s="1">
        <v>4453</v>
      </c>
      <c r="Q603" s="1" t="s">
        <v>42</v>
      </c>
      <c r="S603" s="1" t="s">
        <v>42</v>
      </c>
      <c r="T603" s="1" t="s">
        <v>153</v>
      </c>
      <c r="U603" s="1">
        <v>738</v>
      </c>
      <c r="V603" s="5">
        <v>42763</v>
      </c>
      <c r="W603" s="5">
        <v>41908</v>
      </c>
      <c r="X603" s="1">
        <v>8250000</v>
      </c>
      <c r="Y603" s="1">
        <v>8250000</v>
      </c>
      <c r="Z603" s="5">
        <v>42647</v>
      </c>
      <c r="AA603" s="1">
        <v>8400562.5</v>
      </c>
      <c r="AB603" s="1" t="s">
        <v>497</v>
      </c>
      <c r="AC603" s="5">
        <v>42719</v>
      </c>
      <c r="AF603" s="1">
        <v>10012</v>
      </c>
      <c r="AI603" s="1" t="s">
        <v>45</v>
      </c>
      <c r="AJ603" s="1">
        <v>2014</v>
      </c>
      <c r="AK603" s="1" t="s">
        <v>86</v>
      </c>
      <c r="AL603" s="1">
        <v>25</v>
      </c>
    </row>
    <row r="604" spans="1:38" x14ac:dyDescent="0.2">
      <c r="A604" s="2" t="str">
        <f>HYPERLINK("https://www.compass.com/listing/215-sullivan-street-unit-phc-manhattan-ny-10012/4852277851749090513/","215 Sullivan St, Unit PHC")</f>
        <v>215 Sullivan St, Unit PHC</v>
      </c>
      <c r="B604" s="2" t="str">
        <f t="shared" si="97"/>
        <v>215 Sullivan St</v>
      </c>
      <c r="C604" s="1" t="s">
        <v>159</v>
      </c>
      <c r="D604" s="1" t="s">
        <v>41</v>
      </c>
      <c r="E604" s="3">
        <v>8565000</v>
      </c>
      <c r="F604" s="1">
        <v>3362.7797408716101</v>
      </c>
      <c r="G604" s="1">
        <v>5</v>
      </c>
      <c r="H604" s="1">
        <v>3</v>
      </c>
      <c r="I604" s="1">
        <v>4</v>
      </c>
      <c r="J604" s="1">
        <v>3.5</v>
      </c>
      <c r="M604" s="4">
        <v>2547</v>
      </c>
      <c r="N604" s="1">
        <v>4503</v>
      </c>
      <c r="O604" s="1">
        <v>9770</v>
      </c>
      <c r="P604" s="1">
        <v>5267</v>
      </c>
      <c r="Q604" s="1" t="s">
        <v>42</v>
      </c>
      <c r="S604" s="1" t="s">
        <v>42</v>
      </c>
      <c r="T604" s="1" t="s">
        <v>153</v>
      </c>
      <c r="V604" s="5">
        <v>43678</v>
      </c>
      <c r="W604" s="5">
        <v>41976</v>
      </c>
      <c r="X604" s="1">
        <v>8565000</v>
      </c>
      <c r="Y604" s="1">
        <v>8565000</v>
      </c>
      <c r="Z604" s="5">
        <v>41976</v>
      </c>
      <c r="AA604" s="1">
        <v>8565000</v>
      </c>
      <c r="AB604" s="1" t="s">
        <v>177</v>
      </c>
      <c r="AC604" s="5">
        <v>42490</v>
      </c>
      <c r="AF604" s="1">
        <v>10012</v>
      </c>
      <c r="AI604" s="1" t="s">
        <v>498</v>
      </c>
      <c r="AJ604" s="1">
        <v>2014</v>
      </c>
      <c r="AK604" s="1" t="s">
        <v>99</v>
      </c>
      <c r="AL604" s="1">
        <v>25</v>
      </c>
    </row>
    <row r="605" spans="1:38" x14ac:dyDescent="0.2">
      <c r="A605" s="2" t="str">
        <f>HYPERLINK("https://www.compass.com/listing/215-sullivan-street-unit-phd-manhattan-ny-10012/4852277857637894353/","215 Sullivan St, Unit PHD")</f>
        <v>215 Sullivan St, Unit PHD</v>
      </c>
      <c r="B605" s="2" t="str">
        <f t="shared" si="97"/>
        <v>215 Sullivan St</v>
      </c>
      <c r="C605" s="1" t="s">
        <v>159</v>
      </c>
      <c r="D605" s="1" t="s">
        <v>41</v>
      </c>
      <c r="E605" s="3">
        <v>5852000</v>
      </c>
      <c r="F605" s="1">
        <v>3302.4830699774202</v>
      </c>
      <c r="G605" s="1">
        <v>10</v>
      </c>
      <c r="H605" s="1">
        <v>3</v>
      </c>
      <c r="I605" s="1">
        <v>4</v>
      </c>
      <c r="J605" s="1">
        <v>3.5</v>
      </c>
      <c r="M605" s="4">
        <v>1772</v>
      </c>
      <c r="N605" s="1">
        <v>2976</v>
      </c>
      <c r="O605" s="1">
        <v>6390</v>
      </c>
      <c r="P605" s="1">
        <v>3414</v>
      </c>
      <c r="Q605" s="1" t="s">
        <v>42</v>
      </c>
      <c r="S605" s="1" t="s">
        <v>42</v>
      </c>
      <c r="T605" s="1" t="s">
        <v>153</v>
      </c>
      <c r="V605" s="5">
        <v>43665</v>
      </c>
      <c r="W605" s="5">
        <v>41976</v>
      </c>
      <c r="X605" s="1">
        <v>5852000</v>
      </c>
      <c r="Y605" s="1">
        <v>5852000</v>
      </c>
      <c r="Z605" s="5">
        <v>41976</v>
      </c>
      <c r="AA605" s="1">
        <v>5852000</v>
      </c>
      <c r="AB605" s="1" t="s">
        <v>177</v>
      </c>
      <c r="AC605" s="5">
        <v>42490</v>
      </c>
      <c r="AF605" s="1">
        <v>10012</v>
      </c>
      <c r="AI605" s="1" t="s">
        <v>45</v>
      </c>
      <c r="AJ605" s="1">
        <v>2014</v>
      </c>
      <c r="AK605" s="1" t="s">
        <v>99</v>
      </c>
      <c r="AL605" s="1">
        <v>25</v>
      </c>
    </row>
    <row r="606" spans="1:38" x14ac:dyDescent="0.2">
      <c r="A606" s="2" t="str">
        <f>HYPERLINK("https://www.compass.com/listing/215-sullivan-street-unit-4d-manhattan-ny-10012/4852325216950421313/","215 Sullivan St, Unit 4D")</f>
        <v>215 Sullivan St, Unit 4D</v>
      </c>
      <c r="B606" s="2" t="str">
        <f t="shared" si="97"/>
        <v>215 Sullivan St</v>
      </c>
      <c r="C606" s="1" t="s">
        <v>159</v>
      </c>
      <c r="D606" s="1" t="s">
        <v>41</v>
      </c>
      <c r="E606" s="3">
        <v>5753112</v>
      </c>
      <c r="F606" s="1">
        <v>2435.6951735817102</v>
      </c>
      <c r="G606" s="1">
        <v>9</v>
      </c>
      <c r="H606" s="1">
        <v>3</v>
      </c>
      <c r="I606" s="1">
        <v>4</v>
      </c>
      <c r="J606" s="1">
        <v>3.5</v>
      </c>
      <c r="M606" s="4">
        <v>2362</v>
      </c>
      <c r="N606" s="1">
        <v>2718</v>
      </c>
      <c r="O606" s="1">
        <v>6437</v>
      </c>
      <c r="P606" s="1">
        <v>3719</v>
      </c>
      <c r="Q606" s="1" t="s">
        <v>42</v>
      </c>
      <c r="S606" s="1" t="s">
        <v>42</v>
      </c>
      <c r="T606" s="1" t="s">
        <v>153</v>
      </c>
      <c r="V606" s="5">
        <v>43654</v>
      </c>
      <c r="W606" s="5">
        <v>41976</v>
      </c>
      <c r="X606" s="1">
        <v>5650000</v>
      </c>
      <c r="Y606" s="1">
        <v>5650000</v>
      </c>
      <c r="Z606" s="5">
        <v>41976</v>
      </c>
      <c r="AA606" s="1">
        <v>5753112</v>
      </c>
      <c r="AB606" s="1" t="s">
        <v>499</v>
      </c>
      <c r="AC606" s="5">
        <v>42385</v>
      </c>
      <c r="AF606" s="1">
        <v>10012</v>
      </c>
      <c r="AI606" s="1" t="s">
        <v>45</v>
      </c>
      <c r="AJ606" s="1">
        <v>2014</v>
      </c>
      <c r="AK606" s="1" t="s">
        <v>99</v>
      </c>
      <c r="AL606" s="1">
        <v>25</v>
      </c>
    </row>
    <row r="607" spans="1:38" x14ac:dyDescent="0.2">
      <c r="A607" s="2" t="str">
        <f>HYPERLINK("https://www.compass.com/listing/215-sullivan-street-unit-thc-manhattan-ny-10012/4852288137390472257/","215 Sullivan St, Unit THC")</f>
        <v>215 Sullivan St, Unit THC</v>
      </c>
      <c r="B607" s="2" t="str">
        <f t="shared" si="97"/>
        <v>215 Sullivan St</v>
      </c>
      <c r="C607" s="1" t="s">
        <v>159</v>
      </c>
      <c r="D607" s="1" t="s">
        <v>41</v>
      </c>
      <c r="E607" s="3">
        <v>8140908</v>
      </c>
      <c r="F607" s="1">
        <v>2000.7146719095599</v>
      </c>
      <c r="G607" s="1">
        <v>15</v>
      </c>
      <c r="H607" s="1">
        <v>4</v>
      </c>
      <c r="I607" s="1">
        <v>5</v>
      </c>
      <c r="J607" s="1">
        <v>4.5</v>
      </c>
      <c r="K607" s="1">
        <v>4</v>
      </c>
      <c r="L607" s="1">
        <v>1</v>
      </c>
      <c r="M607" s="4">
        <v>4069</v>
      </c>
      <c r="N607" s="1">
        <v>49293</v>
      </c>
      <c r="O607" s="1">
        <v>55380</v>
      </c>
      <c r="P607" s="1">
        <v>6087</v>
      </c>
      <c r="Q607" s="1" t="s">
        <v>42</v>
      </c>
      <c r="S607" s="1" t="s">
        <v>42</v>
      </c>
      <c r="T607" s="1" t="s">
        <v>153</v>
      </c>
      <c r="V607" s="5">
        <v>44225</v>
      </c>
      <c r="W607" s="5">
        <v>41976</v>
      </c>
      <c r="X607" s="1">
        <v>10000000</v>
      </c>
      <c r="Y607" s="1">
        <v>10000000</v>
      </c>
      <c r="Z607" s="5">
        <v>41976</v>
      </c>
      <c r="AA607" s="1">
        <v>8140908</v>
      </c>
      <c r="AB607" s="1" t="s">
        <v>500</v>
      </c>
      <c r="AC607" s="5">
        <v>42391</v>
      </c>
      <c r="AF607" s="1">
        <v>10012</v>
      </c>
      <c r="AI607" s="1" t="s">
        <v>80</v>
      </c>
      <c r="AJ607" s="1">
        <v>2014</v>
      </c>
      <c r="AK607" s="1" t="s">
        <v>86</v>
      </c>
      <c r="AL607" s="1">
        <v>25</v>
      </c>
    </row>
    <row r="608" spans="1:38" x14ac:dyDescent="0.2">
      <c r="A608" s="2" t="str">
        <f>HYPERLINK("https://www.compass.com/listing/160-east-22nd-street-unit-7a-manhattan-ny-10010/192574531855029217/","160 E 22nd St, Unit 7A")</f>
        <v>160 E 22nd St, Unit 7A</v>
      </c>
      <c r="B608" s="2" t="str">
        <f t="shared" ref="B608:B610" si="98">HYPERLINK("https://www.compass.com/building/160-e-22nd-st-manhattan-ny-10010/292796862321154661/","160 E 22nd St")</f>
        <v>160 E 22nd St</v>
      </c>
      <c r="C608" s="1" t="s">
        <v>54</v>
      </c>
      <c r="D608" s="1" t="s">
        <v>41</v>
      </c>
      <c r="E608" s="3">
        <v>2270687</v>
      </c>
      <c r="F608" s="1">
        <v>2034.6657706093099</v>
      </c>
      <c r="G608" s="1">
        <v>4</v>
      </c>
      <c r="H608" s="1">
        <v>2</v>
      </c>
      <c r="I608" s="1">
        <v>2</v>
      </c>
      <c r="J608" s="1">
        <v>2</v>
      </c>
      <c r="M608" s="4">
        <v>1116</v>
      </c>
      <c r="N608" s="1">
        <v>1062</v>
      </c>
      <c r="O608" s="1">
        <v>1457</v>
      </c>
      <c r="P608" s="1">
        <v>395</v>
      </c>
      <c r="Q608" s="1" t="s">
        <v>42</v>
      </c>
      <c r="S608" s="1" t="s">
        <v>42</v>
      </c>
      <c r="T608" s="1" t="s">
        <v>153</v>
      </c>
      <c r="U608" s="1">
        <v>348</v>
      </c>
      <c r="V608" s="5">
        <v>43631</v>
      </c>
      <c r="W608" s="5">
        <v>41550</v>
      </c>
      <c r="X608" s="1">
        <v>2229990</v>
      </c>
      <c r="Y608" s="1">
        <v>2229990</v>
      </c>
      <c r="AA608" s="1">
        <v>2270687</v>
      </c>
      <c r="AB608" s="1" t="s">
        <v>501</v>
      </c>
      <c r="AC608" s="5">
        <v>41899</v>
      </c>
      <c r="AF608" s="1">
        <v>10010</v>
      </c>
      <c r="AI608" s="1" t="s">
        <v>55</v>
      </c>
      <c r="AJ608" s="1">
        <v>2012</v>
      </c>
      <c r="AK608" s="1" t="s">
        <v>49</v>
      </c>
      <c r="AL608" s="1">
        <v>81</v>
      </c>
    </row>
    <row r="609" spans="1:38" x14ac:dyDescent="0.2">
      <c r="A609" s="2" t="str">
        <f>HYPERLINK("https://www.compass.com/listing/160-east-22nd-street-unit-20c-manhattan-ny-10010/192574648943244033/","160 E 22nd St, Unit 20C")</f>
        <v>160 E 22nd St, Unit 20C</v>
      </c>
      <c r="B609" s="2" t="str">
        <f t="shared" si="98"/>
        <v>160 E 22nd St</v>
      </c>
      <c r="C609" s="1" t="s">
        <v>54</v>
      </c>
      <c r="D609" s="1" t="s">
        <v>41</v>
      </c>
      <c r="E609" s="3">
        <v>3003827</v>
      </c>
      <c r="F609" s="1">
        <v>2330.3545384018598</v>
      </c>
      <c r="G609" s="1">
        <v>3</v>
      </c>
      <c r="H609" s="1">
        <v>2</v>
      </c>
      <c r="I609" s="1">
        <v>2</v>
      </c>
      <c r="J609" s="1">
        <v>2</v>
      </c>
      <c r="M609" s="4">
        <v>1289</v>
      </c>
      <c r="N609" s="1">
        <v>1241</v>
      </c>
      <c r="O609" s="1">
        <v>1703</v>
      </c>
      <c r="P609" s="1">
        <v>462</v>
      </c>
      <c r="Q609" s="1" t="s">
        <v>42</v>
      </c>
      <c r="S609" s="1" t="s">
        <v>42</v>
      </c>
      <c r="T609" s="1" t="s">
        <v>153</v>
      </c>
      <c r="U609" s="1">
        <v>466</v>
      </c>
      <c r="V609" s="5">
        <v>43661</v>
      </c>
      <c r="W609" s="5">
        <v>41501</v>
      </c>
      <c r="X609" s="1">
        <v>2899990</v>
      </c>
      <c r="Y609" s="1">
        <v>3055990</v>
      </c>
      <c r="AA609" s="1">
        <v>3003827</v>
      </c>
      <c r="AB609" s="1" t="s">
        <v>502</v>
      </c>
      <c r="AC609" s="5">
        <v>41968</v>
      </c>
      <c r="AF609" s="1">
        <v>10010</v>
      </c>
      <c r="AI609" s="1" t="s">
        <v>55</v>
      </c>
      <c r="AJ609" s="1">
        <v>2012</v>
      </c>
      <c r="AK609" s="1" t="s">
        <v>49</v>
      </c>
      <c r="AL609" s="1">
        <v>81</v>
      </c>
    </row>
    <row r="610" spans="1:38" x14ac:dyDescent="0.2">
      <c r="A610" s="2" t="str">
        <f>HYPERLINK("https://www.compass.com/listing/160-east-22nd-street-unit-16a-manhattan-ny-10010/192574715078915585/","160 E 22nd St, Unit 16A")</f>
        <v>160 E 22nd St, Unit 16A</v>
      </c>
      <c r="B610" s="2" t="str">
        <f t="shared" si="98"/>
        <v>160 E 22nd St</v>
      </c>
      <c r="C610" s="1" t="s">
        <v>54</v>
      </c>
      <c r="D610" s="1" t="s">
        <v>41</v>
      </c>
      <c r="E610" s="3">
        <v>2891819</v>
      </c>
      <c r="F610" s="1">
        <v>2385.9892739273901</v>
      </c>
      <c r="G610" s="1">
        <v>3</v>
      </c>
      <c r="H610" s="1">
        <v>2</v>
      </c>
      <c r="I610" s="1">
        <v>2</v>
      </c>
      <c r="J610" s="1">
        <v>2</v>
      </c>
      <c r="M610" s="4">
        <v>1212</v>
      </c>
      <c r="N610" s="1">
        <v>1163</v>
      </c>
      <c r="O610" s="1">
        <v>1595</v>
      </c>
      <c r="P610" s="1">
        <v>432</v>
      </c>
      <c r="Q610" s="1" t="s">
        <v>42</v>
      </c>
      <c r="S610" s="1" t="s">
        <v>42</v>
      </c>
      <c r="T610" s="1" t="s">
        <v>153</v>
      </c>
      <c r="U610" s="1">
        <v>386</v>
      </c>
      <c r="V610" s="5">
        <v>43641</v>
      </c>
      <c r="W610" s="5">
        <v>41578</v>
      </c>
      <c r="X610" s="1">
        <v>2839990</v>
      </c>
      <c r="Y610" s="1">
        <v>2839990</v>
      </c>
      <c r="AA610" s="1">
        <v>2891819</v>
      </c>
      <c r="AB610" s="1" t="s">
        <v>503</v>
      </c>
      <c r="AC610" s="5">
        <v>41965</v>
      </c>
      <c r="AF610" s="1">
        <v>10010</v>
      </c>
      <c r="AI610" s="1" t="s">
        <v>55</v>
      </c>
      <c r="AJ610" s="1">
        <v>2012</v>
      </c>
      <c r="AK610" s="1" t="s">
        <v>49</v>
      </c>
      <c r="AL610" s="1">
        <v>81</v>
      </c>
    </row>
    <row r="611" spans="1:38" x14ac:dyDescent="0.2">
      <c r="A611" s="2" t="str">
        <f>HYPERLINK("https://www.compass.com/listing/438-east-12th-street-unit-phe-manhattan-ny-10009/480867033375321065/","438 E 12th St, Unit PHE")</f>
        <v>438 E 12th St, Unit PHE</v>
      </c>
      <c r="B611" s="2" t="str">
        <f>HYPERLINK("https://www.compass.com/building/steiner-east-village-manhattan-ny/281900317572873557/","Steiner East Village")</f>
        <v>Steiner East Village</v>
      </c>
      <c r="C611" s="1" t="s">
        <v>52</v>
      </c>
      <c r="D611" s="1" t="s">
        <v>41</v>
      </c>
      <c r="E611" s="3">
        <v>5793511</v>
      </c>
      <c r="F611" s="1">
        <v>1689.56289880431</v>
      </c>
      <c r="H611" s="1">
        <v>4</v>
      </c>
      <c r="J611" s="1">
        <v>4.5</v>
      </c>
      <c r="K611" s="1">
        <v>4</v>
      </c>
      <c r="L611" s="1">
        <v>1</v>
      </c>
      <c r="M611" s="4">
        <v>3429</v>
      </c>
      <c r="N611" s="1">
        <v>4018</v>
      </c>
      <c r="O611" s="1">
        <v>9464</v>
      </c>
      <c r="P611" s="1">
        <v>5446</v>
      </c>
      <c r="Q611" s="1" t="s">
        <v>42</v>
      </c>
      <c r="S611" s="1" t="s">
        <v>42</v>
      </c>
      <c r="T611" s="1" t="s">
        <v>153</v>
      </c>
      <c r="AA611" s="1">
        <v>5793511.1799999997</v>
      </c>
      <c r="AB611" s="1" t="s">
        <v>504</v>
      </c>
      <c r="AC611" s="5">
        <v>43643</v>
      </c>
      <c r="AF611" s="1">
        <v>10009</v>
      </c>
      <c r="AI611" s="1" t="s">
        <v>53</v>
      </c>
      <c r="AJ611" s="1">
        <v>2017</v>
      </c>
      <c r="AK611" s="1" t="s">
        <v>49</v>
      </c>
      <c r="AL611" s="1">
        <v>82</v>
      </c>
    </row>
    <row r="612" spans="1:38" x14ac:dyDescent="0.2">
      <c r="A612" s="2" t="str">
        <f>HYPERLINK("https://www.compass.com/listing/160-east-22nd-street-unit-9c-manhattan-ny-10010/29378186198413041/","160 E 22nd St, Unit 9C")</f>
        <v>160 E 22nd St, Unit 9C</v>
      </c>
      <c r="B612" s="2" t="str">
        <f>HYPERLINK("https://www.compass.com/building/160-e-22nd-st-manhattan-ny-10010/292796862321154661/","160 E 22nd St")</f>
        <v>160 E 22nd St</v>
      </c>
      <c r="C612" s="1" t="s">
        <v>54</v>
      </c>
      <c r="D612" s="1" t="s">
        <v>41</v>
      </c>
      <c r="E612" s="3">
        <v>1766654</v>
      </c>
      <c r="F612" s="1">
        <v>1556.5230044052801</v>
      </c>
      <c r="H612" s="1">
        <v>2</v>
      </c>
      <c r="J612" s="1">
        <v>2</v>
      </c>
      <c r="M612" s="4">
        <v>1135</v>
      </c>
      <c r="N612" s="1">
        <v>1137</v>
      </c>
      <c r="O612" s="1">
        <v>2374</v>
      </c>
      <c r="P612" s="1">
        <v>1237</v>
      </c>
      <c r="Q612" s="1" t="s">
        <v>42</v>
      </c>
      <c r="S612" s="1" t="s">
        <v>42</v>
      </c>
      <c r="T612" s="1" t="s">
        <v>153</v>
      </c>
      <c r="AA612" s="1">
        <v>1766653.61</v>
      </c>
      <c r="AB612" s="1" t="s">
        <v>505</v>
      </c>
      <c r="AC612" s="5">
        <v>41950</v>
      </c>
      <c r="AF612" s="1">
        <v>10010</v>
      </c>
      <c r="AI612" s="1" t="s">
        <v>55</v>
      </c>
      <c r="AJ612" s="1">
        <v>2012</v>
      </c>
      <c r="AK612" s="1" t="s">
        <v>49</v>
      </c>
      <c r="AL612" s="1">
        <v>81</v>
      </c>
    </row>
    <row r="613" spans="1:38" x14ac:dyDescent="0.2">
      <c r="A613" s="2" t="str">
        <f>HYPERLINK("https://www.compass.com/listing/160-west-12th-street-unit-61-manhattan-ny-10011/592483741296215105/","160 W 12th St, Unit 61")</f>
        <v>160 W 12th St, Unit 61</v>
      </c>
      <c r="B613" s="2" t="str">
        <f>HYPERLINK("https://www.compass.com/building/the-greenwich-lane-manhattan-ny/282059161326355877/","The Greenwich Lane")</f>
        <v>The Greenwich Lane</v>
      </c>
      <c r="C613" s="1" t="s">
        <v>40</v>
      </c>
      <c r="D613" s="1" t="s">
        <v>41</v>
      </c>
      <c r="E613" s="3">
        <v>3900000</v>
      </c>
      <c r="F613" s="1">
        <v>2490.4214559386901</v>
      </c>
      <c r="H613" s="1">
        <v>2</v>
      </c>
      <c r="J613" s="1">
        <v>2.5</v>
      </c>
      <c r="K613" s="1">
        <v>2</v>
      </c>
      <c r="L613" s="1">
        <v>1</v>
      </c>
      <c r="M613" s="4">
        <v>1566</v>
      </c>
      <c r="N613" s="1">
        <v>2715.21</v>
      </c>
      <c r="O613" s="1">
        <v>6062.71</v>
      </c>
      <c r="P613" s="1">
        <v>3347.5</v>
      </c>
      <c r="Q613" s="1" t="s">
        <v>42</v>
      </c>
      <c r="S613" s="1" t="s">
        <v>42</v>
      </c>
      <c r="T613" s="1" t="s">
        <v>153</v>
      </c>
      <c r="AA613" s="1">
        <v>3900000</v>
      </c>
      <c r="AB613" s="1" t="s">
        <v>506</v>
      </c>
      <c r="AC613" s="5">
        <v>44041</v>
      </c>
      <c r="AF613" s="1">
        <v>10011</v>
      </c>
      <c r="AI613" s="1" t="s">
        <v>45</v>
      </c>
      <c r="AJ613" s="1">
        <v>2016</v>
      </c>
      <c r="AK613" s="1" t="s">
        <v>49</v>
      </c>
      <c r="AL613" s="1">
        <v>57</v>
      </c>
    </row>
    <row r="614" spans="1:38" x14ac:dyDescent="0.2">
      <c r="A614" s="2" t="str">
        <f>HYPERLINK("https://www.compass.com/listing/438-east-12th-street-unit-grdc-manhattan-ny-10009/90232209373506177/","438 E 12th St, Unit GRDC")</f>
        <v>438 E 12th St, Unit GRDC</v>
      </c>
      <c r="B614" s="2" t="str">
        <f>HYPERLINK("https://www.compass.com/building/steiner-east-village-manhattan-ny/281900317572873557/","Steiner East Village")</f>
        <v>Steiner East Village</v>
      </c>
      <c r="C614" s="1" t="s">
        <v>52</v>
      </c>
      <c r="D614" s="1" t="s">
        <v>41</v>
      </c>
      <c r="E614" s="3">
        <v>1700000</v>
      </c>
      <c r="F614" s="1">
        <v>1585.8208955223799</v>
      </c>
      <c r="M614" s="4">
        <v>1072</v>
      </c>
      <c r="Q614" s="1" t="s">
        <v>42</v>
      </c>
      <c r="S614" s="1" t="s">
        <v>42</v>
      </c>
      <c r="T614" s="1" t="s">
        <v>153</v>
      </c>
      <c r="AA614" s="1">
        <v>1700000</v>
      </c>
      <c r="AB614" s="1" t="s">
        <v>507</v>
      </c>
      <c r="AC614" s="5">
        <v>43368</v>
      </c>
      <c r="AF614" s="1">
        <v>10009</v>
      </c>
      <c r="AI614" s="1" t="s">
        <v>53</v>
      </c>
      <c r="AJ614" s="1">
        <v>2017</v>
      </c>
      <c r="AK614" s="1" t="s">
        <v>49</v>
      </c>
      <c r="AL614" s="1">
        <v>82</v>
      </c>
    </row>
    <row r="615" spans="1:38" x14ac:dyDescent="0.2">
      <c r="A615" s="2" t="str">
        <f>HYPERLINK("https://www.compass.com/listing/160-east-22nd-street-unit-17c-manhattan-ny-10010/192574732913098881/","160 E 22nd St, Unit 17C")</f>
        <v>160 E 22nd St, Unit 17C</v>
      </c>
      <c r="B615" s="2" t="str">
        <f>HYPERLINK("https://www.compass.com/building/160-e-22nd-st-manhattan-ny-10010/292796862321154661/","160 E 22nd St")</f>
        <v>160 E 22nd St</v>
      </c>
      <c r="C615" s="1" t="s">
        <v>54</v>
      </c>
      <c r="D615" s="1" t="s">
        <v>41</v>
      </c>
      <c r="E615" s="3">
        <v>3413164</v>
      </c>
      <c r="F615" s="1">
        <v>2647.9161055081399</v>
      </c>
      <c r="G615" s="1">
        <v>3</v>
      </c>
      <c r="H615" s="1">
        <v>2</v>
      </c>
      <c r="I615" s="1">
        <v>2</v>
      </c>
      <c r="J615" s="1">
        <v>2</v>
      </c>
      <c r="M615" s="4">
        <v>1289</v>
      </c>
      <c r="N615" s="1">
        <v>1360</v>
      </c>
      <c r="O615" s="1">
        <v>1866</v>
      </c>
      <c r="P615" s="1">
        <v>506</v>
      </c>
      <c r="Q615" s="1" t="s">
        <v>42</v>
      </c>
      <c r="S615" s="1" t="s">
        <v>42</v>
      </c>
      <c r="T615" s="1" t="s">
        <v>153</v>
      </c>
      <c r="U615" s="1">
        <v>464</v>
      </c>
      <c r="V615" s="5">
        <v>43606</v>
      </c>
      <c r="W615" s="5">
        <v>41540</v>
      </c>
      <c r="X615" s="1">
        <v>3351990</v>
      </c>
      <c r="Y615" s="1">
        <v>3351990</v>
      </c>
      <c r="AA615" s="1">
        <v>3413163.86</v>
      </c>
      <c r="AB615" s="1" t="s">
        <v>508</v>
      </c>
      <c r="AC615" s="5">
        <v>42004</v>
      </c>
      <c r="AF615" s="1">
        <v>10010</v>
      </c>
      <c r="AI615" s="1" t="s">
        <v>55</v>
      </c>
      <c r="AJ615" s="1">
        <v>2012</v>
      </c>
      <c r="AK615" s="1" t="s">
        <v>49</v>
      </c>
      <c r="AL615" s="1">
        <v>81</v>
      </c>
    </row>
    <row r="616" spans="1:38" x14ac:dyDescent="0.2">
      <c r="A616" s="2" t="str">
        <f>HYPERLINK("https://www.compass.com/listing/160-west-12th-street-unit-31-manhattan-ny-10011/571654449247180361/","160 W 12th St, Unit 31")</f>
        <v>160 W 12th St, Unit 31</v>
      </c>
      <c r="B616" s="2" t="str">
        <f>HYPERLINK("https://www.compass.com/building/the-greenwich-lane-manhattan-ny/282059161326355877/","The Greenwich Lane")</f>
        <v>The Greenwich Lane</v>
      </c>
      <c r="C616" s="1" t="s">
        <v>40</v>
      </c>
      <c r="D616" s="1" t="s">
        <v>41</v>
      </c>
      <c r="E616" s="3">
        <v>4108261</v>
      </c>
      <c r="F616" s="1">
        <v>2623.4107854406102</v>
      </c>
      <c r="H616" s="1">
        <v>2</v>
      </c>
      <c r="J616" s="1">
        <v>2</v>
      </c>
      <c r="K616" s="1">
        <v>2</v>
      </c>
      <c r="M616" s="4">
        <v>1566</v>
      </c>
      <c r="N616" s="1">
        <v>2674</v>
      </c>
      <c r="O616" s="1">
        <v>5295</v>
      </c>
      <c r="P616" s="1">
        <v>2621</v>
      </c>
      <c r="Q616" s="1" t="s">
        <v>42</v>
      </c>
      <c r="S616" s="1" t="s">
        <v>42</v>
      </c>
      <c r="T616" s="1" t="s">
        <v>153</v>
      </c>
      <c r="AA616" s="1">
        <v>4108261.29</v>
      </c>
      <c r="AB616" s="1" t="s">
        <v>509</v>
      </c>
      <c r="AC616" s="5">
        <v>42467</v>
      </c>
      <c r="AF616" s="1">
        <v>10011</v>
      </c>
      <c r="AI616" s="1" t="s">
        <v>45</v>
      </c>
      <c r="AJ616" s="1">
        <v>2016</v>
      </c>
      <c r="AK616" s="1" t="s">
        <v>49</v>
      </c>
      <c r="AL616" s="1">
        <v>57</v>
      </c>
    </row>
    <row r="617" spans="1:38" x14ac:dyDescent="0.2">
      <c r="A617" s="2" t="str">
        <f>HYPERLINK("https://www.compass.com/listing/438-east-12th-street-unit-grdc-manhattan-ny-10009/837410559769628161/","438 E 12th St, Unit GRDC")</f>
        <v>438 E 12th St, Unit GRDC</v>
      </c>
      <c r="B617" s="2" t="str">
        <f>HYPERLINK("https://www.compass.com/building/steiner-east-village-manhattan-ny/281900317572873557/","Steiner East Village")</f>
        <v>Steiner East Village</v>
      </c>
      <c r="C617" s="1" t="s">
        <v>52</v>
      </c>
      <c r="D617" s="1" t="s">
        <v>41</v>
      </c>
      <c r="E617" s="3">
        <v>2250000</v>
      </c>
      <c r="F617" s="1">
        <v>2098.8805970149201</v>
      </c>
      <c r="M617" s="4">
        <v>1072</v>
      </c>
      <c r="Q617" s="1" t="s">
        <v>42</v>
      </c>
      <c r="S617" s="1" t="s">
        <v>42</v>
      </c>
      <c r="T617" s="1" t="s">
        <v>153</v>
      </c>
      <c r="AA617" s="1">
        <v>2250000</v>
      </c>
      <c r="AB617" s="1" t="s">
        <v>510</v>
      </c>
      <c r="AC617" s="5">
        <v>44393</v>
      </c>
      <c r="AF617" s="1">
        <v>10009</v>
      </c>
      <c r="AI617" s="1" t="s">
        <v>53</v>
      </c>
      <c r="AJ617" s="1">
        <v>2017</v>
      </c>
      <c r="AK617" s="1" t="s">
        <v>49</v>
      </c>
      <c r="AL617" s="1">
        <v>82</v>
      </c>
    </row>
    <row r="618" spans="1:38" x14ac:dyDescent="0.2">
      <c r="A618" s="2" t="str">
        <f>HYPERLINK("https://www.compass.com/listing/160-east-22nd-street-unit-5d-manhattan-ny-10010/167817252433925457/","160 E 22nd St, Unit 5D")</f>
        <v>160 E 22nd St, Unit 5D</v>
      </c>
      <c r="B618" s="2" t="str">
        <f t="shared" ref="B618:B630" si="99">HYPERLINK("https://www.compass.com/building/160-e-22nd-st-manhattan-ny-10010/292796862321154661/","160 E 22nd St")</f>
        <v>160 E 22nd St</v>
      </c>
      <c r="C618" s="1" t="s">
        <v>54</v>
      </c>
      <c r="D618" s="1" t="s">
        <v>41</v>
      </c>
      <c r="E618" s="3">
        <v>2334837</v>
      </c>
      <c r="F618" s="1">
        <v>2049.9008867427501</v>
      </c>
      <c r="H618" s="1">
        <v>2</v>
      </c>
      <c r="J618" s="1">
        <v>2</v>
      </c>
      <c r="M618" s="4">
        <v>1139</v>
      </c>
      <c r="N618" s="1">
        <v>1082</v>
      </c>
      <c r="O618" s="1">
        <v>1484</v>
      </c>
      <c r="P618" s="1">
        <v>402</v>
      </c>
      <c r="Q618" s="1" t="s">
        <v>42</v>
      </c>
      <c r="S618" s="1" t="s">
        <v>42</v>
      </c>
      <c r="T618" s="1" t="s">
        <v>153</v>
      </c>
      <c r="AA618" s="1">
        <v>2334837.11</v>
      </c>
      <c r="AB618" s="1" t="s">
        <v>511</v>
      </c>
      <c r="AC618" s="5">
        <v>41913</v>
      </c>
      <c r="AF618" s="1">
        <v>10010</v>
      </c>
      <c r="AI618" s="1" t="s">
        <v>55</v>
      </c>
      <c r="AJ618" s="1">
        <v>2012</v>
      </c>
      <c r="AK618" s="1" t="s">
        <v>49</v>
      </c>
      <c r="AL618" s="1">
        <v>81</v>
      </c>
    </row>
    <row r="619" spans="1:38" x14ac:dyDescent="0.2">
      <c r="A619" s="2" t="str">
        <f>HYPERLINK("https://www.compass.com/listing/160-east-22nd-street-unit-6d-manhattan-ny-10010/167817254732303025/","160 E 22nd St, Unit 6D")</f>
        <v>160 E 22nd St, Unit 6D</v>
      </c>
      <c r="B619" s="2" t="str">
        <f t="shared" si="99"/>
        <v>160 E 22nd St</v>
      </c>
      <c r="C619" s="1" t="s">
        <v>54</v>
      </c>
      <c r="D619" s="1" t="s">
        <v>41</v>
      </c>
      <c r="E619" s="3">
        <v>2369458</v>
      </c>
      <c r="F619" s="1">
        <v>2080.2964091308099</v>
      </c>
      <c r="H619" s="1">
        <v>2</v>
      </c>
      <c r="J619" s="1">
        <v>2</v>
      </c>
      <c r="M619" s="4">
        <v>1139</v>
      </c>
      <c r="N619" s="1">
        <v>1083</v>
      </c>
      <c r="O619" s="1">
        <v>1486</v>
      </c>
      <c r="P619" s="1">
        <v>403</v>
      </c>
      <c r="Q619" s="1" t="s">
        <v>42</v>
      </c>
      <c r="S619" s="1" t="s">
        <v>42</v>
      </c>
      <c r="T619" s="1" t="s">
        <v>153</v>
      </c>
      <c r="AA619" s="1">
        <v>2369457.61</v>
      </c>
      <c r="AB619" s="1" t="s">
        <v>512</v>
      </c>
      <c r="AC619" s="5">
        <v>41873</v>
      </c>
      <c r="AF619" s="1">
        <v>10010</v>
      </c>
      <c r="AI619" s="1" t="s">
        <v>55</v>
      </c>
      <c r="AJ619" s="1">
        <v>2012</v>
      </c>
      <c r="AK619" s="1" t="s">
        <v>49</v>
      </c>
      <c r="AL619" s="1">
        <v>81</v>
      </c>
    </row>
    <row r="620" spans="1:38" x14ac:dyDescent="0.2">
      <c r="A620" s="2" t="str">
        <f>HYPERLINK("https://www.compass.com/listing/160-east-22nd-street-unit-7c-manhattan-ny-10010/167817256888175313/","160 E 22nd St, Unit 7C")</f>
        <v>160 E 22nd St, Unit 7C</v>
      </c>
      <c r="B620" s="2" t="str">
        <f t="shared" si="99"/>
        <v>160 E 22nd St</v>
      </c>
      <c r="C620" s="1" t="s">
        <v>54</v>
      </c>
      <c r="D620" s="1" t="s">
        <v>41</v>
      </c>
      <c r="E620" s="3">
        <v>2556816</v>
      </c>
      <c r="F620" s="1">
        <v>2240.8550482033302</v>
      </c>
      <c r="H620" s="1">
        <v>2</v>
      </c>
      <c r="J620" s="1">
        <v>2</v>
      </c>
      <c r="M620" s="4">
        <v>1141</v>
      </c>
      <c r="N620" s="1">
        <v>1086</v>
      </c>
      <c r="O620" s="1">
        <v>1490</v>
      </c>
      <c r="P620" s="1">
        <v>404</v>
      </c>
      <c r="Q620" s="1" t="s">
        <v>42</v>
      </c>
      <c r="S620" s="1" t="s">
        <v>42</v>
      </c>
      <c r="T620" s="1" t="s">
        <v>153</v>
      </c>
      <c r="AA620" s="1">
        <v>2556815.61</v>
      </c>
      <c r="AB620" s="1" t="s">
        <v>513</v>
      </c>
      <c r="AC620" s="5">
        <v>41891</v>
      </c>
      <c r="AF620" s="1">
        <v>10010</v>
      </c>
      <c r="AI620" s="1" t="s">
        <v>55</v>
      </c>
      <c r="AJ620" s="1">
        <v>2012</v>
      </c>
      <c r="AK620" s="1" t="s">
        <v>49</v>
      </c>
      <c r="AL620" s="1">
        <v>81</v>
      </c>
    </row>
    <row r="621" spans="1:38" x14ac:dyDescent="0.2">
      <c r="A621" s="2" t="str">
        <f>HYPERLINK("https://www.compass.com/listing/160-east-22nd-street-unit-8c-manhattan-ny-10010/167817261040607089/","160 E 22nd St, Unit 8C")</f>
        <v>160 E 22nd St, Unit 8C</v>
      </c>
      <c r="B621" s="2" t="str">
        <f t="shared" si="99"/>
        <v>160 E 22nd St</v>
      </c>
      <c r="C621" s="1" t="s">
        <v>54</v>
      </c>
      <c r="D621" s="1" t="s">
        <v>41</v>
      </c>
      <c r="E621" s="3">
        <v>2367421</v>
      </c>
      <c r="F621" s="1">
        <v>2085.83357709251</v>
      </c>
      <c r="H621" s="1">
        <v>2</v>
      </c>
      <c r="J621" s="1">
        <v>2</v>
      </c>
      <c r="M621" s="4">
        <v>1135</v>
      </c>
      <c r="N621" s="1">
        <v>1081</v>
      </c>
      <c r="O621" s="1">
        <v>1483</v>
      </c>
      <c r="P621" s="1">
        <v>402</v>
      </c>
      <c r="Q621" s="1" t="s">
        <v>42</v>
      </c>
      <c r="S621" s="1" t="s">
        <v>42</v>
      </c>
      <c r="T621" s="1" t="s">
        <v>153</v>
      </c>
      <c r="AA621" s="1">
        <v>2367421.11</v>
      </c>
      <c r="AB621" s="1" t="s">
        <v>514</v>
      </c>
      <c r="AC621" s="5">
        <v>41907</v>
      </c>
      <c r="AF621" s="1">
        <v>10010</v>
      </c>
      <c r="AI621" s="1" t="s">
        <v>55</v>
      </c>
      <c r="AJ621" s="1">
        <v>2012</v>
      </c>
      <c r="AK621" s="1" t="s">
        <v>49</v>
      </c>
      <c r="AL621" s="1">
        <v>81</v>
      </c>
    </row>
    <row r="622" spans="1:38" x14ac:dyDescent="0.2">
      <c r="A622" s="2" t="str">
        <f>HYPERLINK("https://www.compass.com/listing/160-east-22nd-street-unit-11c-manhattan-ny-10010/167817269177486241/","160 E 22nd St, Unit 11C")</f>
        <v>160 E 22nd St, Unit 11C</v>
      </c>
      <c r="B622" s="2" t="str">
        <f t="shared" si="99"/>
        <v>160 E 22nd St</v>
      </c>
      <c r="C622" s="1" t="s">
        <v>54</v>
      </c>
      <c r="D622" s="1" t="s">
        <v>41</v>
      </c>
      <c r="E622" s="3">
        <v>2453972</v>
      </c>
      <c r="F622" s="1">
        <v>2162.0901850220198</v>
      </c>
      <c r="H622" s="1">
        <v>2</v>
      </c>
      <c r="J622" s="1">
        <v>2</v>
      </c>
      <c r="M622" s="4">
        <v>1135</v>
      </c>
      <c r="N622" s="1">
        <v>1084</v>
      </c>
      <c r="O622" s="1">
        <v>1487</v>
      </c>
      <c r="P622" s="1">
        <v>403</v>
      </c>
      <c r="Q622" s="1" t="s">
        <v>42</v>
      </c>
      <c r="S622" s="1" t="s">
        <v>42</v>
      </c>
      <c r="T622" s="1" t="s">
        <v>153</v>
      </c>
      <c r="AA622" s="1">
        <v>2453972.36</v>
      </c>
      <c r="AB622" s="1" t="s">
        <v>515</v>
      </c>
      <c r="AC622" s="5">
        <v>41942</v>
      </c>
      <c r="AF622" s="1">
        <v>10010</v>
      </c>
      <c r="AI622" s="1" t="s">
        <v>55</v>
      </c>
      <c r="AJ622" s="1">
        <v>2012</v>
      </c>
      <c r="AK622" s="1" t="s">
        <v>49</v>
      </c>
      <c r="AL622" s="1">
        <v>81</v>
      </c>
    </row>
    <row r="623" spans="1:38" x14ac:dyDescent="0.2">
      <c r="A623" s="2" t="str">
        <f>HYPERLINK("https://www.compass.com/listing/160-east-22nd-street-unit-12a-manhattan-ny-10010/167817270939093953/","160 E 22nd St, Unit 12A")</f>
        <v>160 E 22nd St, Unit 12A</v>
      </c>
      <c r="B623" s="2" t="str">
        <f t="shared" si="99"/>
        <v>160 E 22nd St</v>
      </c>
      <c r="C623" s="1" t="s">
        <v>54</v>
      </c>
      <c r="D623" s="1" t="s">
        <v>41</v>
      </c>
      <c r="E623" s="3">
        <v>2565980</v>
      </c>
      <c r="F623" s="1">
        <v>2117.1450990099002</v>
      </c>
      <c r="H623" s="1">
        <v>2</v>
      </c>
      <c r="J623" s="1">
        <v>2</v>
      </c>
      <c r="M623" s="4">
        <v>1212</v>
      </c>
      <c r="N623" s="1">
        <v>1159</v>
      </c>
      <c r="O623" s="1">
        <v>1590</v>
      </c>
      <c r="P623" s="1">
        <v>431</v>
      </c>
      <c r="Q623" s="1" t="s">
        <v>42</v>
      </c>
      <c r="S623" s="1" t="s">
        <v>42</v>
      </c>
      <c r="T623" s="1" t="s">
        <v>153</v>
      </c>
      <c r="AA623" s="1">
        <v>2565979.86</v>
      </c>
      <c r="AB623" s="1" t="s">
        <v>516</v>
      </c>
      <c r="AC623" s="5">
        <v>41961</v>
      </c>
      <c r="AF623" s="1">
        <v>10010</v>
      </c>
      <c r="AI623" s="1" t="s">
        <v>55</v>
      </c>
      <c r="AJ623" s="1">
        <v>2012</v>
      </c>
      <c r="AK623" s="1" t="s">
        <v>49</v>
      </c>
      <c r="AL623" s="1">
        <v>81</v>
      </c>
    </row>
    <row r="624" spans="1:38" x14ac:dyDescent="0.2">
      <c r="A624" s="2" t="str">
        <f>HYPERLINK("https://www.compass.com/listing/160-east-22nd-street-unit-5c-manhattan-ny-10010/29378177373603233/","160 E 22nd St, Unit 5C")</f>
        <v>160 E 22nd St, Unit 5C</v>
      </c>
      <c r="B624" s="2" t="str">
        <f t="shared" si="99"/>
        <v>160 E 22nd St</v>
      </c>
      <c r="C624" s="1" t="s">
        <v>54</v>
      </c>
      <c r="D624" s="1" t="s">
        <v>41</v>
      </c>
      <c r="E624" s="3">
        <v>2295125</v>
      </c>
      <c r="F624" s="1">
        <v>1941.73042301184</v>
      </c>
      <c r="H624" s="1">
        <v>2</v>
      </c>
      <c r="J624" s="1">
        <v>2</v>
      </c>
      <c r="K624" s="1">
        <v>2</v>
      </c>
      <c r="M624" s="4">
        <v>1182</v>
      </c>
      <c r="N624" s="1">
        <v>1231.3699999999999</v>
      </c>
      <c r="O624" s="1">
        <v>2541.9499999999998</v>
      </c>
      <c r="P624" s="1">
        <v>1310.5833333333301</v>
      </c>
      <c r="Q624" s="1" t="s">
        <v>42</v>
      </c>
      <c r="S624" s="1" t="s">
        <v>42</v>
      </c>
      <c r="T624" s="1" t="s">
        <v>153</v>
      </c>
      <c r="AA624" s="1">
        <v>2295125.36</v>
      </c>
      <c r="AB624" s="1" t="s">
        <v>517</v>
      </c>
      <c r="AC624" s="5">
        <v>41908</v>
      </c>
      <c r="AF624" s="1">
        <v>10010</v>
      </c>
      <c r="AI624" s="1" t="s">
        <v>55</v>
      </c>
      <c r="AJ624" s="1">
        <v>2012</v>
      </c>
      <c r="AK624" s="1" t="s">
        <v>49</v>
      </c>
      <c r="AL624" s="1">
        <v>81</v>
      </c>
    </row>
    <row r="625" spans="1:38" x14ac:dyDescent="0.2">
      <c r="A625" s="2" t="str">
        <f>HYPERLINK("https://www.compass.com/listing/160-east-22nd-street-unit-8a-manhattan-ny-10010/29378182331264625/","160 E 22nd St, Unit 8A")</f>
        <v>160 E 22nd St, Unit 8A</v>
      </c>
      <c r="B625" s="2" t="str">
        <f t="shared" si="99"/>
        <v>160 E 22nd St</v>
      </c>
      <c r="C625" s="1" t="s">
        <v>54</v>
      </c>
      <c r="D625" s="1" t="s">
        <v>41</v>
      </c>
      <c r="E625" s="3">
        <v>2565980</v>
      </c>
      <c r="F625" s="1">
        <v>2122.39867659222</v>
      </c>
      <c r="G625" s="1">
        <v>3</v>
      </c>
      <c r="H625" s="1">
        <v>2</v>
      </c>
      <c r="I625" s="1">
        <v>2</v>
      </c>
      <c r="J625" s="1">
        <v>2</v>
      </c>
      <c r="M625" s="4">
        <v>1209</v>
      </c>
      <c r="N625" s="1">
        <v>1152</v>
      </c>
      <c r="O625" s="1">
        <v>1580</v>
      </c>
      <c r="P625" s="1">
        <v>428</v>
      </c>
      <c r="Q625" s="1" t="s">
        <v>42</v>
      </c>
      <c r="S625" s="1" t="s">
        <v>42</v>
      </c>
      <c r="T625" s="1" t="s">
        <v>153</v>
      </c>
      <c r="U625" s="1">
        <v>13</v>
      </c>
      <c r="V625" s="5">
        <v>43633</v>
      </c>
      <c r="W625" s="5">
        <v>41943</v>
      </c>
      <c r="X625" s="1">
        <v>2519990</v>
      </c>
      <c r="Y625" s="1">
        <v>2519990</v>
      </c>
      <c r="Z625" s="5">
        <v>41956</v>
      </c>
      <c r="AA625" s="1">
        <v>2565980</v>
      </c>
      <c r="AB625" s="1" t="s">
        <v>518</v>
      </c>
      <c r="AC625" s="5">
        <v>42042</v>
      </c>
      <c r="AF625" s="1">
        <v>10010</v>
      </c>
      <c r="AI625" s="1" t="s">
        <v>55</v>
      </c>
      <c r="AJ625" s="1">
        <v>2012</v>
      </c>
      <c r="AK625" s="1" t="s">
        <v>49</v>
      </c>
      <c r="AL625" s="1">
        <v>81</v>
      </c>
    </row>
    <row r="626" spans="1:38" x14ac:dyDescent="0.2">
      <c r="A626" s="2" t="str">
        <f>HYPERLINK("https://www.compass.com/listing/160-east-22nd-street-unit-19c-manhattan-ny-10010/29378201683789921/","160 E 22nd St, Unit 19C")</f>
        <v>160 E 22nd St, Unit 19C</v>
      </c>
      <c r="B626" s="2" t="str">
        <f t="shared" si="99"/>
        <v>160 E 22nd St</v>
      </c>
      <c r="C626" s="1" t="s">
        <v>54</v>
      </c>
      <c r="D626" s="1" t="s">
        <v>41</v>
      </c>
      <c r="E626" s="3">
        <v>2555797</v>
      </c>
      <c r="F626" s="1">
        <v>1982.7752986811399</v>
      </c>
      <c r="H626" s="1">
        <v>2</v>
      </c>
      <c r="J626" s="1">
        <v>2</v>
      </c>
      <c r="K626" s="1">
        <v>2</v>
      </c>
      <c r="M626" s="4">
        <v>1289</v>
      </c>
      <c r="N626" s="1">
        <v>1531.16</v>
      </c>
      <c r="O626" s="1">
        <v>3541.67</v>
      </c>
      <c r="P626" s="1">
        <v>2010.5</v>
      </c>
      <c r="Q626" s="1" t="s">
        <v>42</v>
      </c>
      <c r="S626" s="1" t="s">
        <v>42</v>
      </c>
      <c r="T626" s="1" t="s">
        <v>153</v>
      </c>
      <c r="AA626" s="1">
        <v>2555797.36</v>
      </c>
      <c r="AB626" s="1" t="s">
        <v>519</v>
      </c>
      <c r="AC626" s="5">
        <v>41984</v>
      </c>
      <c r="AF626" s="1">
        <v>10010</v>
      </c>
      <c r="AI626" s="1" t="s">
        <v>55</v>
      </c>
      <c r="AJ626" s="1">
        <v>2012</v>
      </c>
      <c r="AK626" s="1" t="s">
        <v>49</v>
      </c>
      <c r="AL626" s="1">
        <v>81</v>
      </c>
    </row>
    <row r="627" spans="1:38" x14ac:dyDescent="0.2">
      <c r="A627" s="2" t="str">
        <f>HYPERLINK("https://www.compass.com/listing/160-east-22nd-street-unit-20b-manhattan-ny-10010/29512114578161681/","160 E 22nd St, Unit 20B")</f>
        <v>160 E 22nd St, Unit 20B</v>
      </c>
      <c r="B627" s="2" t="str">
        <f t="shared" si="99"/>
        <v>160 E 22nd St</v>
      </c>
      <c r="C627" s="1" t="s">
        <v>54</v>
      </c>
      <c r="D627" s="1" t="s">
        <v>41</v>
      </c>
      <c r="E627" s="3">
        <v>2331782</v>
      </c>
      <c r="F627" s="1">
        <v>2098.8140054005398</v>
      </c>
      <c r="H627" s="1">
        <v>2</v>
      </c>
      <c r="J627" s="1">
        <v>2</v>
      </c>
      <c r="M627" s="4">
        <v>1111</v>
      </c>
      <c r="N627" s="1">
        <v>1173.53</v>
      </c>
      <c r="O627" s="1">
        <v>2422.5500000000002</v>
      </c>
      <c r="P627" s="1">
        <v>1249</v>
      </c>
      <c r="Q627" s="1" t="s">
        <v>42</v>
      </c>
      <c r="S627" s="1" t="s">
        <v>42</v>
      </c>
      <c r="T627" s="1" t="s">
        <v>153</v>
      </c>
      <c r="AA627" s="1">
        <v>2331782.36</v>
      </c>
      <c r="AB627" s="1" t="s">
        <v>520</v>
      </c>
      <c r="AC627" s="5">
        <v>41990</v>
      </c>
      <c r="AF627" s="1">
        <v>10010</v>
      </c>
      <c r="AI627" s="1" t="s">
        <v>55</v>
      </c>
      <c r="AJ627" s="1">
        <v>2012</v>
      </c>
      <c r="AK627" s="1" t="s">
        <v>49</v>
      </c>
      <c r="AL627" s="1">
        <v>81</v>
      </c>
    </row>
    <row r="628" spans="1:38" x14ac:dyDescent="0.2">
      <c r="A628" s="2" t="str">
        <f>HYPERLINK("https://www.compass.com/listing/160-east-22nd-street-unit-8a-manhattan-ny-10010/391289690157624385/","160 E 22nd St, Unit 8A")</f>
        <v>160 E 22nd St, Unit 8A</v>
      </c>
      <c r="B628" s="2" t="str">
        <f t="shared" si="99"/>
        <v>160 E 22nd St</v>
      </c>
      <c r="C628" s="1" t="s">
        <v>54</v>
      </c>
      <c r="D628" s="1" t="s">
        <v>41</v>
      </c>
      <c r="E628" s="3">
        <v>2565979</v>
      </c>
      <c r="F628" s="1">
        <v>2122.3978494623602</v>
      </c>
      <c r="H628" s="1">
        <v>2</v>
      </c>
      <c r="I628" s="1">
        <v>2</v>
      </c>
      <c r="J628" s="1">
        <v>2</v>
      </c>
      <c r="K628" s="1">
        <v>2</v>
      </c>
      <c r="M628" s="4">
        <v>1209</v>
      </c>
      <c r="N628" s="1">
        <v>1152</v>
      </c>
      <c r="O628" s="1">
        <v>1580</v>
      </c>
      <c r="P628" s="1">
        <v>428</v>
      </c>
      <c r="S628" s="1" t="s">
        <v>42</v>
      </c>
      <c r="T628" s="1" t="s">
        <v>153</v>
      </c>
      <c r="V628" s="5">
        <v>43792</v>
      </c>
      <c r="AA628" s="1">
        <v>2565979</v>
      </c>
      <c r="AB628" s="1" t="s">
        <v>177</v>
      </c>
      <c r="AC628" s="5">
        <v>43679</v>
      </c>
      <c r="AF628" s="1">
        <v>10010</v>
      </c>
      <c r="AI628" s="1" t="s">
        <v>55</v>
      </c>
      <c r="AJ628" s="1">
        <v>2012</v>
      </c>
      <c r="AK628" s="1" t="s">
        <v>49</v>
      </c>
      <c r="AL628" s="1">
        <v>81</v>
      </c>
    </row>
    <row r="629" spans="1:38" x14ac:dyDescent="0.2">
      <c r="A629" s="2" t="str">
        <f>HYPERLINK("https://www.compass.com/listing/160-east-22nd-street-unit-7a-manhattan-ny-10010/391330789949717025/","160 E 22nd St, Unit 7A")</f>
        <v>160 E 22nd St, Unit 7A</v>
      </c>
      <c r="B629" s="2" t="str">
        <f t="shared" si="99"/>
        <v>160 E 22nd St</v>
      </c>
      <c r="C629" s="1" t="s">
        <v>54</v>
      </c>
      <c r="D629" s="1" t="s">
        <v>41</v>
      </c>
      <c r="E629" s="3">
        <v>2270687</v>
      </c>
      <c r="F629" s="1">
        <v>2034.6657706093099</v>
      </c>
      <c r="H629" s="1">
        <v>2</v>
      </c>
      <c r="I629" s="1">
        <v>2</v>
      </c>
      <c r="J629" s="1">
        <v>2</v>
      </c>
      <c r="K629" s="1">
        <v>2</v>
      </c>
      <c r="M629" s="4">
        <v>1116</v>
      </c>
      <c r="N629" s="1">
        <v>1062</v>
      </c>
      <c r="O629" s="1">
        <v>1457</v>
      </c>
      <c r="P629" s="1">
        <v>395</v>
      </c>
      <c r="S629" s="1" t="s">
        <v>42</v>
      </c>
      <c r="T629" s="1" t="s">
        <v>153</v>
      </c>
      <c r="V629" s="5">
        <v>44247</v>
      </c>
      <c r="AA629" s="1">
        <v>2270687</v>
      </c>
      <c r="AB629" s="1" t="s">
        <v>177</v>
      </c>
      <c r="AC629" s="5">
        <v>43679</v>
      </c>
      <c r="AF629" s="1">
        <v>10010</v>
      </c>
      <c r="AI629" s="1" t="s">
        <v>55</v>
      </c>
      <c r="AJ629" s="1">
        <v>2012</v>
      </c>
      <c r="AK629" s="1" t="s">
        <v>49</v>
      </c>
      <c r="AL629" s="1">
        <v>81</v>
      </c>
    </row>
    <row r="630" spans="1:38" x14ac:dyDescent="0.2">
      <c r="A630" s="2" t="str">
        <f>HYPERLINK("https://www.compass.com/listing/160-east-22nd-street-unit-3c-manhattan-ny-10010/70916638794386241/","160 E 22nd St, Unit 3C")</f>
        <v>160 E 22nd St, Unit 3C</v>
      </c>
      <c r="B630" s="2" t="str">
        <f t="shared" si="99"/>
        <v>160 E 22nd St</v>
      </c>
      <c r="C630" s="1" t="s">
        <v>54</v>
      </c>
      <c r="D630" s="1" t="s">
        <v>41</v>
      </c>
      <c r="E630" s="3">
        <v>2406990</v>
      </c>
      <c r="F630" s="1">
        <v>2122.5661375661298</v>
      </c>
      <c r="H630" s="1">
        <v>2</v>
      </c>
      <c r="J630" s="1">
        <v>2</v>
      </c>
      <c r="M630" s="4">
        <v>1134</v>
      </c>
      <c r="N630" s="1">
        <v>1075</v>
      </c>
      <c r="O630" s="1">
        <v>1475</v>
      </c>
      <c r="P630" s="1">
        <v>400</v>
      </c>
      <c r="Q630" s="1" t="s">
        <v>42</v>
      </c>
      <c r="S630" s="1" t="s">
        <v>42</v>
      </c>
      <c r="T630" s="1" t="s">
        <v>153</v>
      </c>
      <c r="AA630" s="1">
        <v>2406990</v>
      </c>
      <c r="AB630" s="1" t="s">
        <v>521</v>
      </c>
      <c r="AC630" s="5">
        <v>41901</v>
      </c>
      <c r="AF630" s="1">
        <v>10010</v>
      </c>
      <c r="AI630" s="1" t="s">
        <v>55</v>
      </c>
      <c r="AJ630" s="1">
        <v>2012</v>
      </c>
      <c r="AK630" s="1" t="s">
        <v>49</v>
      </c>
      <c r="AL630" s="1">
        <v>81</v>
      </c>
    </row>
    <row r="631" spans="1:38" x14ac:dyDescent="0.2">
      <c r="A631" s="2" t="str">
        <f>HYPERLINK("https://www.compass.com/listing/10-madison-square-west-unit-2d-manhattan-ny-10010/29374712668819889/","10 Madison Sq W, Unit 2D")</f>
        <v>10 Madison Sq W, Unit 2D</v>
      </c>
      <c r="B631" s="2" t="str">
        <f>HYPERLINK("https://www.compass.com/building/10-madison-square-west-manhattan-ny/294838725091521285/","10 Madison Square West")</f>
        <v>10 Madison Square West</v>
      </c>
      <c r="C631" s="1" t="s">
        <v>56</v>
      </c>
      <c r="D631" s="1" t="s">
        <v>41</v>
      </c>
      <c r="E631" s="3">
        <v>1545337</v>
      </c>
      <c r="F631" s="1">
        <v>914.40050887573898</v>
      </c>
      <c r="H631" s="1">
        <v>2</v>
      </c>
      <c r="J631" s="1">
        <v>2.5</v>
      </c>
      <c r="M631" s="4">
        <v>1690</v>
      </c>
      <c r="N631" s="1">
        <v>2123</v>
      </c>
      <c r="O631" s="1">
        <v>5414</v>
      </c>
      <c r="P631" s="1">
        <v>3291</v>
      </c>
      <c r="Q631" s="1" t="s">
        <v>42</v>
      </c>
      <c r="S631" s="1" t="s">
        <v>42</v>
      </c>
      <c r="T631" s="1" t="s">
        <v>153</v>
      </c>
      <c r="AA631" s="1">
        <v>1545336.86</v>
      </c>
      <c r="AB631" s="1" t="s">
        <v>522</v>
      </c>
      <c r="AC631" s="5">
        <v>43010</v>
      </c>
      <c r="AF631" s="1">
        <v>10010</v>
      </c>
      <c r="AI631" s="1" t="s">
        <v>45</v>
      </c>
      <c r="AJ631" s="1">
        <v>1915</v>
      </c>
      <c r="AK631" s="1" t="s">
        <v>49</v>
      </c>
      <c r="AL631" s="1">
        <v>125</v>
      </c>
    </row>
    <row r="632" spans="1:38" x14ac:dyDescent="0.2">
      <c r="A632" s="2" t="str">
        <f>HYPERLINK("https://www.compass.com/listing/160-east-22nd-street-unit-20c-manhattan-ny-10010/391324666685307009/","160 E 22nd St, Unit 20C")</f>
        <v>160 E 22nd St, Unit 20C</v>
      </c>
      <c r="B632" s="2" t="str">
        <f t="shared" ref="B632:B652" si="100">HYPERLINK("https://www.compass.com/building/160-e-22nd-st-manhattan-ny-10010/292796862321154661/","160 E 22nd St")</f>
        <v>160 E 22nd St</v>
      </c>
      <c r="C632" s="1" t="s">
        <v>54</v>
      </c>
      <c r="D632" s="1" t="s">
        <v>41</v>
      </c>
      <c r="E632" s="3">
        <v>3003827</v>
      </c>
      <c r="F632" s="1">
        <v>2330.3545384018598</v>
      </c>
      <c r="H632" s="1">
        <v>2</v>
      </c>
      <c r="I632" s="1">
        <v>2</v>
      </c>
      <c r="J632" s="1">
        <v>2</v>
      </c>
      <c r="K632" s="1">
        <v>2</v>
      </c>
      <c r="M632" s="4">
        <v>1289</v>
      </c>
      <c r="N632" s="1">
        <v>1241</v>
      </c>
      <c r="O632" s="1">
        <v>1703</v>
      </c>
      <c r="P632" s="1">
        <v>462</v>
      </c>
      <c r="S632" s="1" t="s">
        <v>42</v>
      </c>
      <c r="T632" s="1" t="s">
        <v>153</v>
      </c>
      <c r="V632" s="5">
        <v>44247</v>
      </c>
      <c r="AA632" s="1">
        <v>3003827</v>
      </c>
      <c r="AB632" s="1" t="s">
        <v>177</v>
      </c>
      <c r="AC632" s="5">
        <v>43679</v>
      </c>
      <c r="AF632" s="1">
        <v>10010</v>
      </c>
      <c r="AI632" s="1" t="s">
        <v>55</v>
      </c>
      <c r="AJ632" s="1">
        <v>2012</v>
      </c>
      <c r="AK632" s="1" t="s">
        <v>49</v>
      </c>
      <c r="AL632" s="1">
        <v>81</v>
      </c>
    </row>
    <row r="633" spans="1:38" x14ac:dyDescent="0.2">
      <c r="A633" s="2" t="str">
        <f>HYPERLINK("https://www.compass.com/listing/160-east-22nd-street-unit-9a-manhattan-ny-10010/167817262550556561/","160 E 22nd St, Unit 9A")</f>
        <v>160 E 22nd St, Unit 9A</v>
      </c>
      <c r="B633" s="2" t="str">
        <f t="shared" si="100"/>
        <v>160 E 22nd St</v>
      </c>
      <c r="C633" s="1" t="s">
        <v>54</v>
      </c>
      <c r="D633" s="1" t="s">
        <v>41</v>
      </c>
      <c r="E633" s="3">
        <v>2718728</v>
      </c>
      <c r="F633" s="1">
        <v>2243.1745049504898</v>
      </c>
      <c r="H633" s="1">
        <v>2</v>
      </c>
      <c r="J633" s="1">
        <v>2</v>
      </c>
      <c r="M633" s="4">
        <v>1212</v>
      </c>
      <c r="N633" s="1">
        <v>1156</v>
      </c>
      <c r="O633" s="1">
        <v>1586</v>
      </c>
      <c r="P633" s="1">
        <v>430</v>
      </c>
      <c r="Q633" s="1" t="s">
        <v>42</v>
      </c>
      <c r="S633" s="1" t="s">
        <v>42</v>
      </c>
      <c r="T633" s="1" t="s">
        <v>153</v>
      </c>
      <c r="AA633" s="1">
        <v>2718727.5</v>
      </c>
      <c r="AB633" s="1" t="s">
        <v>523</v>
      </c>
      <c r="AC633" s="5">
        <v>41913</v>
      </c>
      <c r="AF633" s="1">
        <v>10010</v>
      </c>
      <c r="AI633" s="1" t="s">
        <v>55</v>
      </c>
      <c r="AJ633" s="1">
        <v>2012</v>
      </c>
      <c r="AK633" s="1" t="s">
        <v>49</v>
      </c>
      <c r="AL633" s="1">
        <v>81</v>
      </c>
    </row>
    <row r="634" spans="1:38" x14ac:dyDescent="0.2">
      <c r="A634" s="2" t="str">
        <f>HYPERLINK("https://www.compass.com/listing/160-east-22nd-street-unit-10c-manhattan-ny-10010/167817266518398641/","160 E 22nd St, Unit 10C")</f>
        <v>160 E 22nd St, Unit 10C</v>
      </c>
      <c r="B634" s="2" t="str">
        <f t="shared" si="100"/>
        <v>160 E 22nd St</v>
      </c>
      <c r="C634" s="1" t="s">
        <v>54</v>
      </c>
      <c r="D634" s="1" t="s">
        <v>41</v>
      </c>
      <c r="E634" s="3">
        <v>2679006</v>
      </c>
      <c r="F634" s="1">
        <v>2360.3573656387598</v>
      </c>
      <c r="H634" s="1">
        <v>2</v>
      </c>
      <c r="J634" s="1">
        <v>2</v>
      </c>
      <c r="M634" s="4">
        <v>1135</v>
      </c>
      <c r="N634" s="1">
        <v>1083</v>
      </c>
      <c r="O634" s="1">
        <v>1486</v>
      </c>
      <c r="P634" s="1">
        <v>403</v>
      </c>
      <c r="Q634" s="1" t="s">
        <v>42</v>
      </c>
      <c r="S634" s="1" t="s">
        <v>42</v>
      </c>
      <c r="T634" s="1" t="s">
        <v>153</v>
      </c>
      <c r="AA634" s="1">
        <v>2679005.61</v>
      </c>
      <c r="AB634" s="1" t="s">
        <v>524</v>
      </c>
      <c r="AC634" s="5">
        <v>41933</v>
      </c>
      <c r="AF634" s="1">
        <v>10010</v>
      </c>
      <c r="AI634" s="1" t="s">
        <v>55</v>
      </c>
      <c r="AJ634" s="1">
        <v>2012</v>
      </c>
      <c r="AK634" s="1" t="s">
        <v>49</v>
      </c>
      <c r="AL634" s="1">
        <v>81</v>
      </c>
    </row>
    <row r="635" spans="1:38" x14ac:dyDescent="0.2">
      <c r="A635" s="2" t="str">
        <f>HYPERLINK("https://www.compass.com/listing/160-east-22nd-street-unit-11a-manhattan-ny-10010/167817268187731665/","160 E 22nd St, Unit 11A")</f>
        <v>160 E 22nd St, Unit 11A</v>
      </c>
      <c r="B635" s="2" t="str">
        <f t="shared" si="100"/>
        <v>160 E 22nd St</v>
      </c>
      <c r="C635" s="1" t="s">
        <v>54</v>
      </c>
      <c r="D635" s="1" t="s">
        <v>41</v>
      </c>
      <c r="E635" s="3">
        <v>2657622</v>
      </c>
      <c r="F635" s="1">
        <v>2192.75772277227</v>
      </c>
      <c r="H635" s="1">
        <v>2</v>
      </c>
      <c r="J635" s="1">
        <v>2</v>
      </c>
      <c r="M635" s="4">
        <v>1212</v>
      </c>
      <c r="N635" s="1">
        <v>1158</v>
      </c>
      <c r="O635" s="1">
        <v>1589</v>
      </c>
      <c r="P635" s="1">
        <v>431</v>
      </c>
      <c r="Q635" s="1" t="s">
        <v>42</v>
      </c>
      <c r="S635" s="1" t="s">
        <v>42</v>
      </c>
      <c r="T635" s="1" t="s">
        <v>153</v>
      </c>
      <c r="AA635" s="1">
        <v>2657622.36</v>
      </c>
      <c r="AB635" s="1" t="s">
        <v>525</v>
      </c>
      <c r="AC635" s="5">
        <v>41921</v>
      </c>
      <c r="AF635" s="1">
        <v>10010</v>
      </c>
      <c r="AI635" s="1" t="s">
        <v>55</v>
      </c>
      <c r="AJ635" s="1">
        <v>2012</v>
      </c>
      <c r="AK635" s="1" t="s">
        <v>49</v>
      </c>
      <c r="AL635" s="1">
        <v>81</v>
      </c>
    </row>
    <row r="636" spans="1:38" x14ac:dyDescent="0.2">
      <c r="A636" s="2" t="str">
        <f>HYPERLINK("https://www.compass.com/listing/160-east-22nd-street-unit-16c-manhattan-ny-10010/167817278799219889/","160 E 22nd St, Unit 16C")</f>
        <v>160 E 22nd St, Unit 16C</v>
      </c>
      <c r="B636" s="2" t="str">
        <f t="shared" si="100"/>
        <v>160 E 22nd St</v>
      </c>
      <c r="C636" s="1" t="s">
        <v>54</v>
      </c>
      <c r="D636" s="1" t="s">
        <v>41</v>
      </c>
      <c r="E636" s="3">
        <v>2698352</v>
      </c>
      <c r="F636" s="1">
        <v>2377.40296035242</v>
      </c>
      <c r="H636" s="1">
        <v>2</v>
      </c>
      <c r="J636" s="1">
        <v>2</v>
      </c>
      <c r="M636" s="4">
        <v>1135</v>
      </c>
      <c r="N636" s="1">
        <v>1089</v>
      </c>
      <c r="O636" s="1">
        <v>1494</v>
      </c>
      <c r="P636" s="1">
        <v>405</v>
      </c>
      <c r="Q636" s="1" t="s">
        <v>42</v>
      </c>
      <c r="S636" s="1" t="s">
        <v>42</v>
      </c>
      <c r="T636" s="1" t="s">
        <v>153</v>
      </c>
      <c r="AA636" s="1">
        <v>2698352.36</v>
      </c>
      <c r="AB636" s="1" t="s">
        <v>526</v>
      </c>
      <c r="AC636" s="5">
        <v>41967</v>
      </c>
      <c r="AF636" s="1">
        <v>10010</v>
      </c>
      <c r="AI636" s="1" t="s">
        <v>55</v>
      </c>
      <c r="AJ636" s="1">
        <v>2012</v>
      </c>
      <c r="AK636" s="1" t="s">
        <v>49</v>
      </c>
      <c r="AL636" s="1">
        <v>81</v>
      </c>
    </row>
    <row r="637" spans="1:38" x14ac:dyDescent="0.2">
      <c r="A637" s="2" t="str">
        <f>HYPERLINK("https://www.compass.com/listing/160-east-22nd-street-unit-19b-manhattan-ny-10010/167817284386103601/","160 E 22nd St, Unit 19B")</f>
        <v>160 E 22nd St, Unit 19B</v>
      </c>
      <c r="B637" s="2" t="str">
        <f t="shared" si="100"/>
        <v>160 E 22nd St</v>
      </c>
      <c r="C637" s="1" t="s">
        <v>54</v>
      </c>
      <c r="D637" s="1" t="s">
        <v>41</v>
      </c>
      <c r="E637" s="3">
        <v>2810360</v>
      </c>
      <c r="F637" s="1">
        <v>2277.4391085899501</v>
      </c>
      <c r="H637" s="1">
        <v>2</v>
      </c>
      <c r="J637" s="1">
        <v>2</v>
      </c>
      <c r="M637" s="4">
        <v>1234</v>
      </c>
      <c r="N637" s="1">
        <v>1315</v>
      </c>
      <c r="O637" s="1">
        <v>1804</v>
      </c>
      <c r="P637" s="1">
        <v>489</v>
      </c>
      <c r="Q637" s="1" t="s">
        <v>42</v>
      </c>
      <c r="S637" s="1" t="s">
        <v>42</v>
      </c>
      <c r="T637" s="1" t="s">
        <v>153</v>
      </c>
      <c r="AA637" s="1">
        <v>2810359.86</v>
      </c>
      <c r="AB637" s="1" t="s">
        <v>527</v>
      </c>
      <c r="AC637" s="5">
        <v>41982</v>
      </c>
      <c r="AF637" s="1">
        <v>10010</v>
      </c>
      <c r="AI637" s="1" t="s">
        <v>55</v>
      </c>
      <c r="AJ637" s="1">
        <v>2012</v>
      </c>
      <c r="AK637" s="1" t="s">
        <v>49</v>
      </c>
      <c r="AL637" s="1">
        <v>81</v>
      </c>
    </row>
    <row r="638" spans="1:38" x14ac:dyDescent="0.2">
      <c r="A638" s="2" t="str">
        <f>HYPERLINK("https://www.compass.com/listing/160-east-22nd-street-unit-21b-manhattan-ny-10010/167817288781734305/","160 E 22nd St, Unit 21B")</f>
        <v>160 E 22nd St, Unit 21B</v>
      </c>
      <c r="B638" s="2" t="str">
        <f t="shared" si="100"/>
        <v>160 E 22nd St</v>
      </c>
      <c r="C638" s="1" t="s">
        <v>54</v>
      </c>
      <c r="D638" s="1" t="s">
        <v>41</v>
      </c>
      <c r="E638" s="3">
        <v>2647440</v>
      </c>
      <c r="F638" s="1">
        <v>2382.9341674167399</v>
      </c>
      <c r="H638" s="1">
        <v>2</v>
      </c>
      <c r="J638" s="1">
        <v>2</v>
      </c>
      <c r="M638" s="4">
        <v>1111</v>
      </c>
      <c r="N638" s="1">
        <v>1071</v>
      </c>
      <c r="O638" s="1">
        <v>1469</v>
      </c>
      <c r="P638" s="1">
        <v>398</v>
      </c>
      <c r="Q638" s="1" t="s">
        <v>42</v>
      </c>
      <c r="S638" s="1" t="s">
        <v>42</v>
      </c>
      <c r="T638" s="1" t="s">
        <v>153</v>
      </c>
      <c r="AA638" s="1">
        <v>2647439.86</v>
      </c>
      <c r="AB638" s="1" t="s">
        <v>528</v>
      </c>
      <c r="AC638" s="5">
        <v>41991</v>
      </c>
      <c r="AF638" s="1">
        <v>10010</v>
      </c>
      <c r="AI638" s="1" t="s">
        <v>55</v>
      </c>
      <c r="AJ638" s="1">
        <v>2012</v>
      </c>
      <c r="AK638" s="1" t="s">
        <v>49</v>
      </c>
      <c r="AL638" s="1">
        <v>81</v>
      </c>
    </row>
    <row r="639" spans="1:38" x14ac:dyDescent="0.2">
      <c r="A639" s="2" t="str">
        <f>HYPERLINK("https://www.compass.com/listing/160-east-22nd-street-unit-16a-manhattan-ny-10010/391326841507296113/","160 E 22nd St, Unit 16A")</f>
        <v>160 E 22nd St, Unit 16A</v>
      </c>
      <c r="B639" s="2" t="str">
        <f t="shared" si="100"/>
        <v>160 E 22nd St</v>
      </c>
      <c r="C639" s="1" t="s">
        <v>54</v>
      </c>
      <c r="D639" s="1" t="s">
        <v>41</v>
      </c>
      <c r="E639" s="3">
        <v>2891819</v>
      </c>
      <c r="F639" s="1">
        <v>2385.9892739273901</v>
      </c>
      <c r="H639" s="1">
        <v>2</v>
      </c>
      <c r="I639" s="1">
        <v>2</v>
      </c>
      <c r="J639" s="1">
        <v>2</v>
      </c>
      <c r="K639" s="1">
        <v>2</v>
      </c>
      <c r="M639" s="4">
        <v>1212</v>
      </c>
      <c r="N639" s="1">
        <v>1163</v>
      </c>
      <c r="O639" s="1">
        <v>1595</v>
      </c>
      <c r="P639" s="1">
        <v>432</v>
      </c>
      <c r="S639" s="1" t="s">
        <v>42</v>
      </c>
      <c r="T639" s="1" t="s">
        <v>153</v>
      </c>
      <c r="V639" s="5">
        <v>44247</v>
      </c>
      <c r="AA639" s="1">
        <v>2891819</v>
      </c>
      <c r="AB639" s="1" t="s">
        <v>177</v>
      </c>
      <c r="AC639" s="5">
        <v>43679</v>
      </c>
      <c r="AF639" s="1">
        <v>10010</v>
      </c>
      <c r="AI639" s="1" t="s">
        <v>55</v>
      </c>
      <c r="AJ639" s="1">
        <v>2012</v>
      </c>
      <c r="AK639" s="1" t="s">
        <v>49</v>
      </c>
      <c r="AL639" s="1">
        <v>81</v>
      </c>
    </row>
    <row r="640" spans="1:38" x14ac:dyDescent="0.2">
      <c r="A640" s="2" t="str">
        <f>HYPERLINK("https://www.compass.com/listing/160-east-22nd-street-unit-18c-manhattan-ny-10010/70918523462884177/","160 E 22nd St, Unit 18C")</f>
        <v>160 E 22nd St, Unit 18C</v>
      </c>
      <c r="B640" s="2" t="str">
        <f t="shared" si="100"/>
        <v>160 E 22nd St</v>
      </c>
      <c r="C640" s="1" t="s">
        <v>54</v>
      </c>
      <c r="D640" s="1" t="s">
        <v>41</v>
      </c>
      <c r="E640" s="3">
        <v>2637257</v>
      </c>
      <c r="F640" s="1">
        <v>2045.97157486423</v>
      </c>
      <c r="H640" s="1">
        <v>2</v>
      </c>
      <c r="J640" s="1">
        <v>2</v>
      </c>
      <c r="K640" s="1">
        <v>2</v>
      </c>
      <c r="M640" s="4">
        <v>1289</v>
      </c>
      <c r="N640" s="1">
        <v>1239</v>
      </c>
      <c r="O640" s="1">
        <v>1700</v>
      </c>
      <c r="P640" s="1">
        <v>461</v>
      </c>
      <c r="Q640" s="1" t="s">
        <v>42</v>
      </c>
      <c r="S640" s="1" t="s">
        <v>42</v>
      </c>
      <c r="T640" s="1" t="s">
        <v>153</v>
      </c>
      <c r="AA640" s="1">
        <v>2637257.36</v>
      </c>
      <c r="AB640" s="1" t="s">
        <v>529</v>
      </c>
      <c r="AC640" s="5">
        <v>42026</v>
      </c>
      <c r="AF640" s="1">
        <v>10010</v>
      </c>
      <c r="AI640" s="1" t="s">
        <v>55</v>
      </c>
      <c r="AJ640" s="1">
        <v>2012</v>
      </c>
      <c r="AK640" s="1" t="s">
        <v>49</v>
      </c>
      <c r="AL640" s="1">
        <v>81</v>
      </c>
    </row>
    <row r="641" spans="1:38" x14ac:dyDescent="0.2">
      <c r="A641" s="2" t="str">
        <f>HYPERLINK("https://www.compass.com/listing/160-east-22nd-street-unit-11e-manhattan-ny-10010/109296835968896881/","160 E 22nd St, Unit 11E")</f>
        <v>160 E 22nd St, Unit 11E</v>
      </c>
      <c r="B641" s="2" t="str">
        <f t="shared" si="100"/>
        <v>160 E 22nd St</v>
      </c>
      <c r="C641" s="1" t="s">
        <v>54</v>
      </c>
      <c r="D641" s="1" t="s">
        <v>41</v>
      </c>
      <c r="E641" s="3">
        <v>2739082</v>
      </c>
      <c r="F641" s="1">
        <v>1778.6249090909</v>
      </c>
      <c r="H641" s="1">
        <v>3</v>
      </c>
      <c r="J641" s="1">
        <v>2</v>
      </c>
      <c r="M641" s="4">
        <v>1540</v>
      </c>
      <c r="N641" s="1">
        <v>1473</v>
      </c>
      <c r="O641" s="1">
        <v>2021</v>
      </c>
      <c r="P641" s="1">
        <v>548</v>
      </c>
      <c r="Q641" s="1" t="s">
        <v>42</v>
      </c>
      <c r="S641" s="1" t="s">
        <v>42</v>
      </c>
      <c r="T641" s="1" t="s">
        <v>153</v>
      </c>
      <c r="AA641" s="1">
        <v>2739082.36</v>
      </c>
      <c r="AB641" s="1" t="s">
        <v>530</v>
      </c>
      <c r="AC641" s="5">
        <v>41940</v>
      </c>
      <c r="AF641" s="1">
        <v>10010</v>
      </c>
      <c r="AI641" s="1" t="s">
        <v>55</v>
      </c>
      <c r="AJ641" s="1">
        <v>2012</v>
      </c>
      <c r="AK641" s="1" t="s">
        <v>49</v>
      </c>
      <c r="AL641" s="1">
        <v>81</v>
      </c>
    </row>
    <row r="642" spans="1:38" x14ac:dyDescent="0.2">
      <c r="A642" s="2" t="str">
        <f>HYPERLINK("https://www.compass.com/listing/160-east-22nd-street-unit-14e-manhattan-ny-10010/167817275024447377/","160 E 22nd St, Unit 14E")</f>
        <v>160 E 22nd St, Unit 14E</v>
      </c>
      <c r="B642" s="2" t="str">
        <f t="shared" si="100"/>
        <v>160 E 22nd St</v>
      </c>
      <c r="C642" s="1" t="s">
        <v>54</v>
      </c>
      <c r="D642" s="1" t="s">
        <v>41</v>
      </c>
      <c r="E642" s="3">
        <v>2779812</v>
      </c>
      <c r="F642" s="1">
        <v>1805.0729610389601</v>
      </c>
      <c r="H642" s="1">
        <v>3</v>
      </c>
      <c r="J642" s="1">
        <v>2</v>
      </c>
      <c r="M642" s="4">
        <v>1540</v>
      </c>
      <c r="N642" s="1">
        <v>1476</v>
      </c>
      <c r="O642" s="1">
        <v>2025</v>
      </c>
      <c r="P642" s="1">
        <v>549</v>
      </c>
      <c r="Q642" s="1" t="s">
        <v>42</v>
      </c>
      <c r="S642" s="1" t="s">
        <v>42</v>
      </c>
      <c r="T642" s="1" t="s">
        <v>153</v>
      </c>
      <c r="AA642" s="1">
        <v>2779812.36</v>
      </c>
      <c r="AB642" s="1" t="s">
        <v>531</v>
      </c>
      <c r="AC642" s="5">
        <v>41956</v>
      </c>
      <c r="AF642" s="1">
        <v>10010</v>
      </c>
      <c r="AI642" s="1" t="s">
        <v>55</v>
      </c>
      <c r="AJ642" s="1">
        <v>2012</v>
      </c>
      <c r="AK642" s="1" t="s">
        <v>49</v>
      </c>
      <c r="AL642" s="1">
        <v>81</v>
      </c>
    </row>
    <row r="643" spans="1:38" x14ac:dyDescent="0.2">
      <c r="A643" s="2" t="str">
        <f>HYPERLINK("https://www.compass.com/listing/160-east-22nd-street-unit-8e-manhattan-ny-10010/221382800941641009/","160 E 22nd St, Unit 8E")</f>
        <v>160 E 22nd St, Unit 8E</v>
      </c>
      <c r="B643" s="2" t="str">
        <f t="shared" si="100"/>
        <v>160 E 22nd St</v>
      </c>
      <c r="C643" s="1" t="s">
        <v>54</v>
      </c>
      <c r="D643" s="1" t="s">
        <v>41</v>
      </c>
      <c r="E643" s="3">
        <v>2912185</v>
      </c>
      <c r="F643" s="1">
        <v>1897.1888338762201</v>
      </c>
      <c r="H643" s="1">
        <v>3</v>
      </c>
      <c r="J643" s="1">
        <v>2</v>
      </c>
      <c r="M643" s="4">
        <v>1535</v>
      </c>
      <c r="N643" s="1">
        <v>1436</v>
      </c>
      <c r="O643" s="1">
        <v>1980</v>
      </c>
      <c r="P643" s="1">
        <v>544</v>
      </c>
      <c r="Q643" s="1" t="s">
        <v>42</v>
      </c>
      <c r="S643" s="1" t="s">
        <v>42</v>
      </c>
      <c r="T643" s="1" t="s">
        <v>153</v>
      </c>
      <c r="AA643" s="1">
        <v>2912184.86</v>
      </c>
      <c r="AB643" s="1" t="s">
        <v>532</v>
      </c>
      <c r="AC643" s="5">
        <v>41955</v>
      </c>
      <c r="AF643" s="1">
        <v>10010</v>
      </c>
      <c r="AI643" s="1" t="s">
        <v>55</v>
      </c>
      <c r="AJ643" s="1">
        <v>2012</v>
      </c>
      <c r="AK643" s="1" t="s">
        <v>49</v>
      </c>
      <c r="AL643" s="1">
        <v>81</v>
      </c>
    </row>
    <row r="644" spans="1:38" x14ac:dyDescent="0.2">
      <c r="A644" s="2" t="str">
        <f>HYPERLINK("https://www.compass.com/listing/160-east-22nd-street-unit-15e-manhattan-ny-10010/78972367468094369/","160 E 22nd St, Unit 15E")</f>
        <v>160 E 22nd St, Unit 15E</v>
      </c>
      <c r="B644" s="2" t="str">
        <f t="shared" si="100"/>
        <v>160 E 22nd St</v>
      </c>
      <c r="C644" s="1" t="s">
        <v>54</v>
      </c>
      <c r="D644" s="1" t="s">
        <v>41</v>
      </c>
      <c r="E644" s="3">
        <v>2800177</v>
      </c>
      <c r="F644" s="1">
        <v>1818.29698701298</v>
      </c>
      <c r="H644" s="1">
        <v>3</v>
      </c>
      <c r="J644" s="1">
        <v>2</v>
      </c>
      <c r="M644" s="4">
        <v>1540</v>
      </c>
      <c r="N644" s="1">
        <v>1477</v>
      </c>
      <c r="O644" s="1">
        <v>2026</v>
      </c>
      <c r="P644" s="1">
        <v>549</v>
      </c>
      <c r="Q644" s="1" t="s">
        <v>42</v>
      </c>
      <c r="S644" s="1" t="s">
        <v>42</v>
      </c>
      <c r="T644" s="1" t="s">
        <v>153</v>
      </c>
      <c r="AA644" s="1">
        <v>2800177.36</v>
      </c>
      <c r="AB644" s="1" t="s">
        <v>533</v>
      </c>
      <c r="AC644" s="5">
        <v>41956</v>
      </c>
      <c r="AF644" s="1">
        <v>10010</v>
      </c>
      <c r="AI644" s="1" t="s">
        <v>55</v>
      </c>
      <c r="AJ644" s="1">
        <v>2012</v>
      </c>
      <c r="AK644" s="1" t="s">
        <v>49</v>
      </c>
      <c r="AL644" s="1">
        <v>81</v>
      </c>
    </row>
    <row r="645" spans="1:38" x14ac:dyDescent="0.2">
      <c r="A645" s="2" t="str">
        <f>HYPERLINK("https://www.compass.com/listing/160-east-22nd-street-unit-9e-manhattan-ny-10010/80628640999624049/","160 E 22nd St, Unit 9E")</f>
        <v>160 E 22nd St, Unit 9E</v>
      </c>
      <c r="B645" s="2" t="str">
        <f t="shared" si="100"/>
        <v>160 E 22nd St</v>
      </c>
      <c r="C645" s="1" t="s">
        <v>54</v>
      </c>
      <c r="D645" s="1" t="s">
        <v>41</v>
      </c>
      <c r="E645" s="3">
        <v>2769630</v>
      </c>
      <c r="F645" s="1">
        <v>1798.46092207792</v>
      </c>
      <c r="H645" s="1">
        <v>3</v>
      </c>
      <c r="J645" s="1">
        <v>2</v>
      </c>
      <c r="M645" s="4">
        <v>1540</v>
      </c>
      <c r="N645" s="1">
        <v>1436</v>
      </c>
      <c r="O645" s="1">
        <v>1980</v>
      </c>
      <c r="P645" s="1">
        <v>544</v>
      </c>
      <c r="Q645" s="1" t="s">
        <v>42</v>
      </c>
      <c r="S645" s="1" t="s">
        <v>42</v>
      </c>
      <c r="T645" s="1" t="s">
        <v>153</v>
      </c>
      <c r="AA645" s="1">
        <v>2769629.82</v>
      </c>
      <c r="AB645" s="1" t="s">
        <v>534</v>
      </c>
      <c r="AC645" s="5">
        <v>42205</v>
      </c>
      <c r="AF645" s="1">
        <v>10010</v>
      </c>
      <c r="AI645" s="1" t="s">
        <v>55</v>
      </c>
      <c r="AJ645" s="1">
        <v>2012</v>
      </c>
      <c r="AK645" s="1" t="s">
        <v>49</v>
      </c>
      <c r="AL645" s="1">
        <v>81</v>
      </c>
    </row>
    <row r="646" spans="1:38" x14ac:dyDescent="0.2">
      <c r="A646" s="2" t="str">
        <f>HYPERLINK("https://www.compass.com/listing/160-east-22nd-street-unit-17a-manhattan-ny-10010/167817280930027553/","160 E 22nd St, Unit 17A")</f>
        <v>160 E 22nd St, Unit 17A</v>
      </c>
      <c r="B646" s="2" t="str">
        <f t="shared" si="100"/>
        <v>160 E 22nd St</v>
      </c>
      <c r="C646" s="1" t="s">
        <v>54</v>
      </c>
      <c r="D646" s="1" t="s">
        <v>41</v>
      </c>
      <c r="E646" s="3">
        <v>3971165</v>
      </c>
      <c r="F646" s="1">
        <v>2796.5949718309798</v>
      </c>
      <c r="H646" s="1">
        <v>2</v>
      </c>
      <c r="J646" s="1">
        <v>2</v>
      </c>
      <c r="M646" s="4">
        <v>1420</v>
      </c>
      <c r="N646" s="1">
        <v>1485</v>
      </c>
      <c r="O646" s="1">
        <v>2037</v>
      </c>
      <c r="P646" s="1">
        <v>552</v>
      </c>
      <c r="Q646" s="1" t="s">
        <v>42</v>
      </c>
      <c r="S646" s="1" t="s">
        <v>42</v>
      </c>
      <c r="T646" s="1" t="s">
        <v>153</v>
      </c>
      <c r="AA646" s="1">
        <v>3971164.86</v>
      </c>
      <c r="AB646" s="1" t="s">
        <v>535</v>
      </c>
      <c r="AC646" s="5">
        <v>41976</v>
      </c>
      <c r="AF646" s="1">
        <v>10010</v>
      </c>
      <c r="AI646" s="1" t="s">
        <v>55</v>
      </c>
      <c r="AJ646" s="1">
        <v>2012</v>
      </c>
      <c r="AK646" s="1" t="s">
        <v>49</v>
      </c>
      <c r="AL646" s="1">
        <v>81</v>
      </c>
    </row>
    <row r="647" spans="1:38" x14ac:dyDescent="0.2">
      <c r="A647" s="2" t="str">
        <f>HYPERLINK("https://www.compass.com/listing/160-east-22nd-street-unit-19a-manhattan-ny-10010/29378200937197729/","160 E 22nd St, Unit 19A")</f>
        <v>160 E 22nd St, Unit 19A</v>
      </c>
      <c r="B647" s="2" t="str">
        <f t="shared" si="100"/>
        <v>160 E 22nd St</v>
      </c>
      <c r="C647" s="1" t="s">
        <v>54</v>
      </c>
      <c r="D647" s="1" t="s">
        <v>41</v>
      </c>
      <c r="E647" s="3">
        <v>3217660</v>
      </c>
      <c r="F647" s="1">
        <v>2265.9577464788699</v>
      </c>
      <c r="G647" s="1">
        <v>3</v>
      </c>
      <c r="H647" s="1">
        <v>2</v>
      </c>
      <c r="I647" s="1">
        <v>2</v>
      </c>
      <c r="J647" s="1">
        <v>2</v>
      </c>
      <c r="M647" s="4">
        <v>1420</v>
      </c>
      <c r="N647" s="1">
        <v>1407</v>
      </c>
      <c r="O647" s="1">
        <v>1930</v>
      </c>
      <c r="P647" s="1">
        <v>523</v>
      </c>
      <c r="Q647" s="1" t="s">
        <v>42</v>
      </c>
      <c r="S647" s="1" t="s">
        <v>42</v>
      </c>
      <c r="T647" s="1" t="s">
        <v>153</v>
      </c>
      <c r="U647" s="1">
        <v>45</v>
      </c>
      <c r="V647" s="5">
        <v>43633</v>
      </c>
      <c r="W647" s="5">
        <v>42039</v>
      </c>
      <c r="X647" s="1">
        <v>3159990</v>
      </c>
      <c r="Y647" s="1">
        <v>3159990</v>
      </c>
      <c r="Z647" s="5">
        <v>42084</v>
      </c>
      <c r="AA647" s="1">
        <v>3217660</v>
      </c>
      <c r="AB647" s="1" t="s">
        <v>536</v>
      </c>
      <c r="AC647" s="5">
        <v>42137</v>
      </c>
      <c r="AF647" s="1">
        <v>10010</v>
      </c>
      <c r="AI647" s="1" t="s">
        <v>55</v>
      </c>
      <c r="AJ647" s="1">
        <v>2012</v>
      </c>
      <c r="AK647" s="1" t="s">
        <v>49</v>
      </c>
      <c r="AL647" s="1">
        <v>81</v>
      </c>
    </row>
    <row r="648" spans="1:38" x14ac:dyDescent="0.2">
      <c r="A648" s="2" t="str">
        <f>HYPERLINK("https://www.compass.com/listing/160-east-22nd-street-unit-20a-manhattan-ny-10010/29378203311250433/","160 E 22nd St, Unit 20A")</f>
        <v>160 E 22nd St, Unit 20A</v>
      </c>
      <c r="B648" s="2" t="str">
        <f t="shared" si="100"/>
        <v>160 E 22nd St</v>
      </c>
      <c r="C648" s="1" t="s">
        <v>54</v>
      </c>
      <c r="D648" s="1" t="s">
        <v>41</v>
      </c>
      <c r="E648" s="3">
        <v>3054740</v>
      </c>
      <c r="F648" s="1">
        <v>2532.9517910447698</v>
      </c>
      <c r="H648" s="1">
        <v>2</v>
      </c>
      <c r="J648" s="1">
        <v>2</v>
      </c>
      <c r="M648" s="4">
        <v>1206</v>
      </c>
      <c r="N648" s="1">
        <v>1324</v>
      </c>
      <c r="O648" s="1">
        <v>1834</v>
      </c>
      <c r="P648" s="1">
        <v>510</v>
      </c>
      <c r="Q648" s="1" t="s">
        <v>42</v>
      </c>
      <c r="S648" s="1" t="s">
        <v>42</v>
      </c>
      <c r="T648" s="1" t="s">
        <v>153</v>
      </c>
      <c r="AA648" s="1">
        <v>3054739.86</v>
      </c>
      <c r="AB648" s="1" t="s">
        <v>537</v>
      </c>
      <c r="AC648" s="5">
        <v>41989</v>
      </c>
      <c r="AF648" s="1">
        <v>10010</v>
      </c>
      <c r="AI648" s="1" t="s">
        <v>55</v>
      </c>
      <c r="AJ648" s="1">
        <v>2012</v>
      </c>
      <c r="AK648" s="1" t="s">
        <v>49</v>
      </c>
      <c r="AL648" s="1">
        <v>81</v>
      </c>
    </row>
    <row r="649" spans="1:38" x14ac:dyDescent="0.2">
      <c r="A649" s="2" t="str">
        <f>HYPERLINK("https://www.compass.com/listing/160-east-22nd-street-unit-21a-manhattan-ny-10010/29378204854683825/","160 E 22nd St, Unit 21A")</f>
        <v>160 E 22nd St, Unit 21A</v>
      </c>
      <c r="B649" s="2" t="str">
        <f t="shared" si="100"/>
        <v>160 E 22nd St</v>
      </c>
      <c r="C649" s="1" t="s">
        <v>54</v>
      </c>
      <c r="D649" s="1" t="s">
        <v>41</v>
      </c>
      <c r="E649" s="3">
        <v>3229000</v>
      </c>
      <c r="F649" s="1">
        <v>2677.44610281923</v>
      </c>
      <c r="H649" s="1">
        <v>2</v>
      </c>
      <c r="J649" s="1">
        <v>2</v>
      </c>
      <c r="M649" s="4">
        <v>1206</v>
      </c>
      <c r="N649" s="1">
        <v>1162</v>
      </c>
      <c r="O649" s="1">
        <v>1594</v>
      </c>
      <c r="P649" s="1">
        <v>432</v>
      </c>
      <c r="Q649" s="1" t="s">
        <v>42</v>
      </c>
      <c r="S649" s="1" t="s">
        <v>42</v>
      </c>
      <c r="T649" s="1" t="s">
        <v>153</v>
      </c>
      <c r="AA649" s="1">
        <v>3229000</v>
      </c>
      <c r="AB649" s="1" t="s">
        <v>538</v>
      </c>
      <c r="AC649" s="5">
        <v>42678</v>
      </c>
      <c r="AF649" s="1">
        <v>10010</v>
      </c>
      <c r="AI649" s="1" t="s">
        <v>55</v>
      </c>
      <c r="AJ649" s="1">
        <v>2012</v>
      </c>
      <c r="AK649" s="1" t="s">
        <v>49</v>
      </c>
      <c r="AL649" s="1">
        <v>81</v>
      </c>
    </row>
    <row r="650" spans="1:38" x14ac:dyDescent="0.2">
      <c r="A650" s="2" t="str">
        <f>HYPERLINK("https://www.compass.com/listing/160-east-22nd-street-unit-21c-manhattan-ny-10010/29378205609729105/","160 E 22nd St, Unit 21C")</f>
        <v>160 E 22nd St, Unit 21C</v>
      </c>
      <c r="B650" s="2" t="str">
        <f t="shared" si="100"/>
        <v>160 E 22nd St</v>
      </c>
      <c r="C650" s="1" t="s">
        <v>54</v>
      </c>
      <c r="D650" s="1" t="s">
        <v>41</v>
      </c>
      <c r="E650" s="3">
        <v>3207477</v>
      </c>
      <c r="F650" s="1">
        <v>2488.3455081458401</v>
      </c>
      <c r="H650" s="1">
        <v>2</v>
      </c>
      <c r="J650" s="1">
        <v>2</v>
      </c>
      <c r="M650" s="4">
        <v>1289</v>
      </c>
      <c r="N650" s="1">
        <v>1242</v>
      </c>
      <c r="O650" s="1">
        <v>2693</v>
      </c>
      <c r="P650" s="1">
        <v>1451</v>
      </c>
      <c r="Q650" s="1" t="s">
        <v>42</v>
      </c>
      <c r="S650" s="1" t="s">
        <v>42</v>
      </c>
      <c r="T650" s="1" t="s">
        <v>153</v>
      </c>
      <c r="AA650" s="1">
        <v>3207477.36</v>
      </c>
      <c r="AB650" s="1" t="s">
        <v>539</v>
      </c>
      <c r="AC650" s="5">
        <v>41992</v>
      </c>
      <c r="AF650" s="1">
        <v>10010</v>
      </c>
      <c r="AI650" s="1" t="s">
        <v>55</v>
      </c>
      <c r="AJ650" s="1">
        <v>2012</v>
      </c>
      <c r="AK650" s="1" t="s">
        <v>49</v>
      </c>
      <c r="AL650" s="1">
        <v>81</v>
      </c>
    </row>
    <row r="651" spans="1:38" x14ac:dyDescent="0.2">
      <c r="A651" s="2" t="str">
        <f>HYPERLINK("https://www.compass.com/listing/160-east-22nd-street-unit-17c-manhattan-ny-10010/391332445760272977/","160 E 22nd St, Unit 17C")</f>
        <v>160 E 22nd St, Unit 17C</v>
      </c>
      <c r="B651" s="2" t="str">
        <f t="shared" si="100"/>
        <v>160 E 22nd St</v>
      </c>
      <c r="C651" s="1" t="s">
        <v>54</v>
      </c>
      <c r="D651" s="1" t="s">
        <v>41</v>
      </c>
      <c r="E651" s="3">
        <v>3413163</v>
      </c>
      <c r="F651" s="1">
        <v>2647.9154383242799</v>
      </c>
      <c r="H651" s="1">
        <v>2</v>
      </c>
      <c r="I651" s="1">
        <v>2</v>
      </c>
      <c r="J651" s="1">
        <v>2</v>
      </c>
      <c r="K651" s="1">
        <v>2</v>
      </c>
      <c r="M651" s="4">
        <v>1289</v>
      </c>
      <c r="N651" s="1">
        <v>1360</v>
      </c>
      <c r="O651" s="1">
        <v>1866</v>
      </c>
      <c r="P651" s="1">
        <v>506</v>
      </c>
      <c r="S651" s="1" t="s">
        <v>42</v>
      </c>
      <c r="T651" s="1" t="s">
        <v>153</v>
      </c>
      <c r="V651" s="5">
        <v>44247</v>
      </c>
      <c r="AA651" s="1">
        <v>3413163</v>
      </c>
      <c r="AB651" s="1" t="s">
        <v>177</v>
      </c>
      <c r="AC651" s="5">
        <v>43679</v>
      </c>
      <c r="AF651" s="1">
        <v>10010</v>
      </c>
      <c r="AI651" s="1" t="s">
        <v>55</v>
      </c>
      <c r="AJ651" s="1">
        <v>2012</v>
      </c>
      <c r="AK651" s="1" t="s">
        <v>49</v>
      </c>
      <c r="AL651" s="1">
        <v>81</v>
      </c>
    </row>
    <row r="652" spans="1:38" x14ac:dyDescent="0.2">
      <c r="A652" s="2" t="str">
        <f>HYPERLINK("https://www.compass.com/listing/160-east-22nd-street-unit-21a-manhattan-ny-10010/502222051292370497/","160 E 22nd St, Unit 21A")</f>
        <v>160 E 22nd St, Unit 21A</v>
      </c>
      <c r="B652" s="2" t="str">
        <f t="shared" si="100"/>
        <v>160 E 22nd St</v>
      </c>
      <c r="C652" s="1" t="s">
        <v>54</v>
      </c>
      <c r="D652" s="1" t="s">
        <v>41</v>
      </c>
      <c r="E652" s="3">
        <v>3083940</v>
      </c>
      <c r="F652" s="1">
        <v>2557.1638640132601</v>
      </c>
      <c r="H652" s="1">
        <v>2</v>
      </c>
      <c r="J652" s="1">
        <v>2</v>
      </c>
      <c r="M652" s="4">
        <v>1206</v>
      </c>
      <c r="N652" s="1">
        <v>1162</v>
      </c>
      <c r="O652" s="1">
        <v>1594</v>
      </c>
      <c r="P652" s="1">
        <v>432</v>
      </c>
      <c r="Q652" s="1" t="s">
        <v>42</v>
      </c>
      <c r="S652" s="1" t="s">
        <v>42</v>
      </c>
      <c r="T652" s="1" t="s">
        <v>153</v>
      </c>
      <c r="AA652" s="1">
        <v>3083939.62</v>
      </c>
      <c r="AB652" s="1" t="s">
        <v>540</v>
      </c>
      <c r="AC652" s="5">
        <v>41928</v>
      </c>
      <c r="AF652" s="1">
        <v>10010</v>
      </c>
      <c r="AI652" s="1" t="s">
        <v>55</v>
      </c>
      <c r="AJ652" s="1">
        <v>2012</v>
      </c>
      <c r="AK652" s="1" t="s">
        <v>49</v>
      </c>
      <c r="AL652" s="1">
        <v>81</v>
      </c>
    </row>
    <row r="653" spans="1:38" x14ac:dyDescent="0.2">
      <c r="A653" s="2" t="str">
        <f>HYPERLINK("https://www.compass.com/listing/180-6th-avenue-unit-3b-manhattan-ny-10012/81090678649583521/","180 6th Ave, Unit 3B")</f>
        <v>180 6th Ave, Unit 3B</v>
      </c>
      <c r="B653" s="2" t="str">
        <f>HYPERLINK("https://www.compass.com/building/one-vandam-manhattan-ny/307436879024291493/","One Vandam")</f>
        <v>One Vandam</v>
      </c>
      <c r="C653" s="1" t="s">
        <v>50</v>
      </c>
      <c r="D653" s="1" t="s">
        <v>41</v>
      </c>
      <c r="E653" s="3">
        <v>1375000</v>
      </c>
      <c r="F653" s="1">
        <v>1865.67164179104</v>
      </c>
      <c r="G653" s="1">
        <v>3</v>
      </c>
      <c r="H653" s="1">
        <v>1</v>
      </c>
      <c r="I653" s="1">
        <v>1</v>
      </c>
      <c r="J653" s="1">
        <v>1</v>
      </c>
      <c r="K653" s="1">
        <v>1</v>
      </c>
      <c r="M653" s="1">
        <v>737</v>
      </c>
      <c r="N653" s="1">
        <v>989</v>
      </c>
      <c r="O653" s="1">
        <v>2744</v>
      </c>
      <c r="P653" s="1">
        <v>1755</v>
      </c>
      <c r="Q653" s="1" t="s">
        <v>42</v>
      </c>
      <c r="S653" s="1" t="s">
        <v>42</v>
      </c>
      <c r="T653" s="1" t="s">
        <v>153</v>
      </c>
      <c r="U653" s="1">
        <v>35</v>
      </c>
      <c r="V653" s="5">
        <v>43678</v>
      </c>
      <c r="W653" s="5">
        <v>43364</v>
      </c>
      <c r="X653" s="1">
        <v>1495000</v>
      </c>
      <c r="Y653" s="1">
        <v>1495000</v>
      </c>
      <c r="Z653" s="5">
        <v>43399</v>
      </c>
      <c r="AA653" s="1">
        <v>1375000</v>
      </c>
      <c r="AB653" s="1" t="s">
        <v>541</v>
      </c>
      <c r="AC653" s="5">
        <v>43487</v>
      </c>
      <c r="AF653" s="1">
        <v>10012</v>
      </c>
      <c r="AI653" s="1" t="s">
        <v>85</v>
      </c>
      <c r="AJ653" s="1">
        <v>2014</v>
      </c>
      <c r="AK653" s="1" t="s">
        <v>46</v>
      </c>
      <c r="AL653" s="1">
        <v>25</v>
      </c>
    </row>
    <row r="654" spans="1:38" x14ac:dyDescent="0.2">
      <c r="A654" s="2" t="str">
        <f>HYPERLINK("https://www.compass.com/listing/10-madison-square-west-unit-2d-manhattan-ny-10010/29374712668819873/","10 Madison Sq W, Unit 2D")</f>
        <v>10 Madison Sq W, Unit 2D</v>
      </c>
      <c r="B654" s="2" t="str">
        <f>HYPERLINK("https://www.compass.com/building/10-madison-square-west-manhattan-ny/294838725091521285/","10 Madison Square West")</f>
        <v>10 Madison Square West</v>
      </c>
      <c r="C654" s="1" t="s">
        <v>56</v>
      </c>
      <c r="D654" s="1" t="s">
        <v>41</v>
      </c>
      <c r="E654" s="3">
        <v>3003838</v>
      </c>
      <c r="F654" s="1">
        <v>1777.41863905325</v>
      </c>
      <c r="H654" s="1">
        <v>2</v>
      </c>
      <c r="J654" s="1">
        <v>2.5</v>
      </c>
      <c r="M654" s="4">
        <v>1690</v>
      </c>
      <c r="N654" s="1">
        <v>2123</v>
      </c>
      <c r="O654" s="1">
        <v>5414</v>
      </c>
      <c r="P654" s="1">
        <v>3291</v>
      </c>
      <c r="Q654" s="1" t="s">
        <v>42</v>
      </c>
      <c r="S654" s="1" t="s">
        <v>42</v>
      </c>
      <c r="T654" s="1" t="s">
        <v>153</v>
      </c>
      <c r="AA654" s="1">
        <v>3003837.5</v>
      </c>
      <c r="AB654" s="1" t="s">
        <v>542</v>
      </c>
      <c r="AC654" s="5">
        <v>42797</v>
      </c>
      <c r="AF654" s="1">
        <v>10010</v>
      </c>
      <c r="AI654" s="1" t="s">
        <v>45</v>
      </c>
      <c r="AJ654" s="1">
        <v>1915</v>
      </c>
      <c r="AK654" s="1" t="s">
        <v>49</v>
      </c>
      <c r="AL654" s="1">
        <v>125</v>
      </c>
    </row>
    <row r="655" spans="1:38" x14ac:dyDescent="0.2">
      <c r="A655" s="2" t="str">
        <f>HYPERLINK("https://www.compass.com/listing/160-west-12th-street-unit-98-manhattan-ny-10011/784773547388628697/","160 W 12th St, Unit 98")</f>
        <v>160 W 12th St, Unit 98</v>
      </c>
      <c r="B655" s="2" t="str">
        <f>HYPERLINK("https://www.compass.com/building/the-greenwich-lane-manhattan-ny/282059161326355877/","The Greenwich Lane")</f>
        <v>The Greenwich Lane</v>
      </c>
      <c r="C655" s="1" t="s">
        <v>40</v>
      </c>
      <c r="D655" s="1" t="s">
        <v>41</v>
      </c>
      <c r="E655" s="3">
        <v>8212720</v>
      </c>
      <c r="F655" s="1">
        <v>3349.3966068515501</v>
      </c>
      <c r="H655" s="1">
        <v>3</v>
      </c>
      <c r="J655" s="1">
        <v>3.5</v>
      </c>
      <c r="M655" s="4">
        <v>2452</v>
      </c>
      <c r="N655" s="1">
        <v>4315</v>
      </c>
      <c r="O655" s="1">
        <v>8544</v>
      </c>
      <c r="P655" s="1">
        <v>4229</v>
      </c>
      <c r="Q655" s="1" t="s">
        <v>42</v>
      </c>
      <c r="S655" s="1" t="s">
        <v>42</v>
      </c>
      <c r="T655" s="1" t="s">
        <v>153</v>
      </c>
      <c r="AA655" s="1">
        <v>8212720.4800000004</v>
      </c>
      <c r="AB655" s="1" t="s">
        <v>543</v>
      </c>
      <c r="AC655" s="5">
        <v>42580</v>
      </c>
      <c r="AF655" s="1">
        <v>10011</v>
      </c>
      <c r="AI655" s="1" t="s">
        <v>45</v>
      </c>
      <c r="AJ655" s="1">
        <v>2016</v>
      </c>
      <c r="AK655" s="1" t="s">
        <v>49</v>
      </c>
      <c r="AL655" s="1">
        <v>57</v>
      </c>
    </row>
    <row r="656" spans="1:38" x14ac:dyDescent="0.2">
      <c r="A656" s="2" t="str">
        <f>HYPERLINK("https://www.compass.com/listing/160-east-22nd-street-unit-12e-manhattan-ny-10010/29512114074920769/","160 E 22nd St, Unit 12E")</f>
        <v>160 E 22nd St, Unit 12E</v>
      </c>
      <c r="B656" s="2" t="str">
        <f>HYPERLINK("https://www.compass.com/building/160-e-22nd-st-manhattan-ny-10010/292796862321154661/","160 E 22nd St")</f>
        <v>160 E 22nd St</v>
      </c>
      <c r="C656" s="1" t="s">
        <v>54</v>
      </c>
      <c r="D656" s="1" t="s">
        <v>41</v>
      </c>
      <c r="E656" s="3">
        <v>3044557</v>
      </c>
      <c r="F656" s="1">
        <v>1976.98529870129</v>
      </c>
      <c r="H656" s="1">
        <v>3</v>
      </c>
      <c r="J656" s="1">
        <v>2</v>
      </c>
      <c r="M656" s="4">
        <v>1540</v>
      </c>
      <c r="N656" s="1">
        <v>1619</v>
      </c>
      <c r="O656" s="1">
        <v>3341</v>
      </c>
      <c r="P656" s="1">
        <v>1722</v>
      </c>
      <c r="Q656" s="1" t="s">
        <v>42</v>
      </c>
      <c r="S656" s="1" t="s">
        <v>42</v>
      </c>
      <c r="T656" s="1" t="s">
        <v>153</v>
      </c>
      <c r="AA656" s="1">
        <v>3044557.36</v>
      </c>
      <c r="AB656" s="1" t="s">
        <v>544</v>
      </c>
      <c r="AC656" s="5">
        <v>42024</v>
      </c>
      <c r="AF656" s="1">
        <v>10010</v>
      </c>
      <c r="AI656" s="1" t="s">
        <v>55</v>
      </c>
      <c r="AJ656" s="1">
        <v>2012</v>
      </c>
      <c r="AK656" s="1" t="s">
        <v>49</v>
      </c>
      <c r="AL656" s="1">
        <v>81</v>
      </c>
    </row>
    <row r="657" spans="1:38" x14ac:dyDescent="0.2">
      <c r="A657" s="2" t="str">
        <f>HYPERLINK("https://www.compass.com/listing/10-madison-square-west-unit-3d-manhattan-ny-10010/29374715051239793/","10 Madison Sq W, Unit 3D")</f>
        <v>10 Madison Sq W, Unit 3D</v>
      </c>
      <c r="B657" s="2" t="str">
        <f t="shared" ref="B657:B668" si="101">HYPERLINK("https://www.compass.com/building/10-madison-square-west-manhattan-ny/294838725091521285/","10 Madison Square West")</f>
        <v>10 Madison Square West</v>
      </c>
      <c r="C657" s="1" t="s">
        <v>56</v>
      </c>
      <c r="D657" s="1" t="s">
        <v>41</v>
      </c>
      <c r="E657" s="3">
        <v>4327563</v>
      </c>
      <c r="F657" s="1">
        <v>2560.68786982248</v>
      </c>
      <c r="H657" s="1">
        <v>2</v>
      </c>
      <c r="J657" s="1">
        <v>2.5</v>
      </c>
      <c r="M657" s="4">
        <v>1690</v>
      </c>
      <c r="N657" s="1">
        <v>2117</v>
      </c>
      <c r="O657" s="1">
        <v>3850</v>
      </c>
      <c r="P657" s="1">
        <v>1733</v>
      </c>
      <c r="Q657" s="1" t="s">
        <v>42</v>
      </c>
      <c r="S657" s="1" t="s">
        <v>42</v>
      </c>
      <c r="T657" s="1" t="s">
        <v>153</v>
      </c>
      <c r="AA657" s="1">
        <v>4327562.5</v>
      </c>
      <c r="AB657" s="1" t="s">
        <v>545</v>
      </c>
      <c r="AC657" s="5">
        <v>42704</v>
      </c>
      <c r="AF657" s="1">
        <v>10010</v>
      </c>
      <c r="AI657" s="1" t="s">
        <v>45</v>
      </c>
      <c r="AJ657" s="1">
        <v>1915</v>
      </c>
      <c r="AK657" s="1" t="s">
        <v>49</v>
      </c>
      <c r="AL657" s="1">
        <v>125</v>
      </c>
    </row>
    <row r="658" spans="1:38" x14ac:dyDescent="0.2">
      <c r="A658" s="2" t="str">
        <f>HYPERLINK("https://www.compass.com/listing/10-madison-square-west-unit-4c-manhattan-ny-10010/29374717064505745/","10 Madison Sq W, Unit 4C")</f>
        <v>10 Madison Sq W, Unit 4C</v>
      </c>
      <c r="B658" s="2" t="str">
        <f t="shared" si="101"/>
        <v>10 Madison Square West</v>
      </c>
      <c r="C658" s="1" t="s">
        <v>56</v>
      </c>
      <c r="D658" s="1" t="s">
        <v>41</v>
      </c>
      <c r="E658" s="3">
        <v>3714067</v>
      </c>
      <c r="F658" s="1">
        <v>2591.8121981856202</v>
      </c>
      <c r="H658" s="1">
        <v>2</v>
      </c>
      <c r="J658" s="1">
        <v>2.5</v>
      </c>
      <c r="K658" s="1">
        <v>2</v>
      </c>
      <c r="L658" s="1">
        <v>1</v>
      </c>
      <c r="M658" s="4">
        <v>1433</v>
      </c>
      <c r="N658" s="1">
        <v>1800</v>
      </c>
      <c r="O658" s="1">
        <v>4784</v>
      </c>
      <c r="P658" s="1">
        <v>2984</v>
      </c>
      <c r="Q658" s="1" t="s">
        <v>42</v>
      </c>
      <c r="S658" s="1" t="s">
        <v>42</v>
      </c>
      <c r="T658" s="1" t="s">
        <v>153</v>
      </c>
      <c r="AA658" s="1">
        <v>3714066.88</v>
      </c>
      <c r="AB658" s="1" t="s">
        <v>546</v>
      </c>
      <c r="AC658" s="5">
        <v>42625</v>
      </c>
      <c r="AF658" s="1">
        <v>10010</v>
      </c>
      <c r="AI658" s="1" t="s">
        <v>45</v>
      </c>
      <c r="AJ658" s="1">
        <v>1915</v>
      </c>
      <c r="AK658" s="1" t="s">
        <v>49</v>
      </c>
      <c r="AL658" s="1">
        <v>125</v>
      </c>
    </row>
    <row r="659" spans="1:38" x14ac:dyDescent="0.2">
      <c r="A659" s="2" t="str">
        <f>HYPERLINK("https://www.compass.com/listing/10-madison-square-west-unit-4d-manhattan-ny-10010/29374717358108241/","10 Madison Sq W, Unit 4D")</f>
        <v>10 Madison Sq W, Unit 4D</v>
      </c>
      <c r="B659" s="2" t="str">
        <f t="shared" si="101"/>
        <v>10 Madison Square West</v>
      </c>
      <c r="C659" s="1" t="s">
        <v>56</v>
      </c>
      <c r="D659" s="1" t="s">
        <v>41</v>
      </c>
      <c r="E659" s="3">
        <v>3563875</v>
      </c>
      <c r="F659" s="1">
        <v>2108.8017751479201</v>
      </c>
      <c r="H659" s="1">
        <v>2</v>
      </c>
      <c r="J659" s="1">
        <v>2.5</v>
      </c>
      <c r="K659" s="1">
        <v>2</v>
      </c>
      <c r="L659" s="1">
        <v>1</v>
      </c>
      <c r="M659" s="4">
        <v>1690</v>
      </c>
      <c r="N659" s="1">
        <v>2123</v>
      </c>
      <c r="O659" s="1">
        <v>4253</v>
      </c>
      <c r="P659" s="1">
        <v>2130</v>
      </c>
      <c r="Q659" s="1" t="s">
        <v>42</v>
      </c>
      <c r="S659" s="1" t="s">
        <v>42</v>
      </c>
      <c r="T659" s="1" t="s">
        <v>153</v>
      </c>
      <c r="AA659" s="1">
        <v>3563875</v>
      </c>
      <c r="AB659" s="1" t="s">
        <v>547</v>
      </c>
      <c r="AC659" s="5">
        <v>42640</v>
      </c>
      <c r="AF659" s="1">
        <v>10010</v>
      </c>
      <c r="AI659" s="1" t="s">
        <v>45</v>
      </c>
      <c r="AJ659" s="1">
        <v>1915</v>
      </c>
      <c r="AK659" s="1" t="s">
        <v>49</v>
      </c>
      <c r="AL659" s="1">
        <v>125</v>
      </c>
    </row>
    <row r="660" spans="1:38" x14ac:dyDescent="0.2">
      <c r="A660" s="2" t="str">
        <f>HYPERLINK("https://www.compass.com/listing/10-madison-square-west-unit-7c-manhattan-ny-10010/29374726854011537/","10 Madison Sq W, Unit 7C")</f>
        <v>10 Madison Sq W, Unit 7C</v>
      </c>
      <c r="B660" s="2" t="str">
        <f t="shared" si="101"/>
        <v>10 Madison Square West</v>
      </c>
      <c r="C660" s="1" t="s">
        <v>56</v>
      </c>
      <c r="D660" s="1" t="s">
        <v>41</v>
      </c>
      <c r="E660" s="3">
        <v>3971175</v>
      </c>
      <c r="F660" s="1">
        <v>2771.2316817864598</v>
      </c>
      <c r="H660" s="1">
        <v>2</v>
      </c>
      <c r="J660" s="1">
        <v>2.5</v>
      </c>
      <c r="K660" s="1">
        <v>2</v>
      </c>
      <c r="L660" s="1">
        <v>1</v>
      </c>
      <c r="M660" s="4">
        <v>1433</v>
      </c>
      <c r="N660" s="1">
        <v>1800</v>
      </c>
      <c r="O660" s="1">
        <v>4266</v>
      </c>
      <c r="P660" s="1">
        <v>2466</v>
      </c>
      <c r="Q660" s="1" t="s">
        <v>42</v>
      </c>
      <c r="S660" s="1" t="s">
        <v>42</v>
      </c>
      <c r="T660" s="1" t="s">
        <v>153</v>
      </c>
      <c r="AA660" s="1">
        <v>3971175</v>
      </c>
      <c r="AB660" s="1" t="s">
        <v>548</v>
      </c>
      <c r="AC660" s="5">
        <v>42430</v>
      </c>
      <c r="AF660" s="1">
        <v>10010</v>
      </c>
      <c r="AI660" s="1" t="s">
        <v>45</v>
      </c>
      <c r="AJ660" s="1">
        <v>1915</v>
      </c>
      <c r="AK660" s="1" t="s">
        <v>49</v>
      </c>
      <c r="AL660" s="1">
        <v>125</v>
      </c>
    </row>
    <row r="661" spans="1:38" x14ac:dyDescent="0.2">
      <c r="A661" s="2" t="str">
        <f>HYPERLINK("https://www.compass.com/listing/10-madison-square-west-unit-7d-manhattan-ny-10010/29374727348940593/","10 Madison Sq W, Unit 7D")</f>
        <v>10 Madison Sq W, Unit 7D</v>
      </c>
      <c r="B661" s="2" t="str">
        <f t="shared" si="101"/>
        <v>10 Madison Square West</v>
      </c>
      <c r="C661" s="1" t="s">
        <v>56</v>
      </c>
      <c r="D661" s="1" t="s">
        <v>41</v>
      </c>
      <c r="E661" s="3">
        <v>3309313</v>
      </c>
      <c r="F661" s="1">
        <v>1958.1730769230701</v>
      </c>
      <c r="H661" s="1">
        <v>2</v>
      </c>
      <c r="J661" s="1">
        <v>2.5</v>
      </c>
      <c r="K661" s="1">
        <v>2</v>
      </c>
      <c r="L661" s="1">
        <v>1</v>
      </c>
      <c r="M661" s="4">
        <v>1690</v>
      </c>
      <c r="N661" s="1">
        <v>2122</v>
      </c>
      <c r="O661" s="1">
        <v>5467</v>
      </c>
      <c r="P661" s="1">
        <v>3345</v>
      </c>
      <c r="Q661" s="1" t="s">
        <v>42</v>
      </c>
      <c r="S661" s="1" t="s">
        <v>42</v>
      </c>
      <c r="T661" s="1" t="s">
        <v>153</v>
      </c>
      <c r="AA661" s="1">
        <v>3309312.5</v>
      </c>
      <c r="AB661" s="1" t="s">
        <v>549</v>
      </c>
      <c r="AC661" s="5">
        <v>42496</v>
      </c>
      <c r="AF661" s="1">
        <v>10010</v>
      </c>
      <c r="AI661" s="1" t="s">
        <v>45</v>
      </c>
      <c r="AJ661" s="1">
        <v>1915</v>
      </c>
      <c r="AK661" s="1" t="s">
        <v>49</v>
      </c>
      <c r="AL661" s="1">
        <v>125</v>
      </c>
    </row>
    <row r="662" spans="1:38" x14ac:dyDescent="0.2">
      <c r="A662" s="2" t="str">
        <f>HYPERLINK("https://www.compass.com/listing/10-madison-square-west-unit-15c-manhattan-ny-10010/29374744872686657/","10 Madison Sq W, Unit 15C")</f>
        <v>10 Madison Sq W, Unit 15C</v>
      </c>
      <c r="B662" s="2" t="str">
        <f t="shared" si="101"/>
        <v>10 Madison Square West</v>
      </c>
      <c r="C662" s="1" t="s">
        <v>56</v>
      </c>
      <c r="D662" s="1" t="s">
        <v>41</v>
      </c>
      <c r="E662" s="3">
        <v>4327563</v>
      </c>
      <c r="F662" s="1">
        <v>2432.5815064643002</v>
      </c>
      <c r="H662" s="1">
        <v>2</v>
      </c>
      <c r="J662" s="1">
        <v>2.5</v>
      </c>
      <c r="K662" s="1">
        <v>2</v>
      </c>
      <c r="L662" s="1">
        <v>1</v>
      </c>
      <c r="M662" s="4">
        <v>1779</v>
      </c>
      <c r="N662" s="1">
        <v>2234</v>
      </c>
      <c r="O662" s="1">
        <v>5939</v>
      </c>
      <c r="P662" s="1">
        <v>3705</v>
      </c>
      <c r="Q662" s="1" t="s">
        <v>42</v>
      </c>
      <c r="S662" s="1" t="s">
        <v>42</v>
      </c>
      <c r="T662" s="1" t="s">
        <v>153</v>
      </c>
      <c r="AA662" s="1">
        <v>4327562.5</v>
      </c>
      <c r="AB662" s="1" t="s">
        <v>550</v>
      </c>
      <c r="AC662" s="5">
        <v>42543</v>
      </c>
      <c r="AF662" s="1">
        <v>10010</v>
      </c>
      <c r="AI662" s="1" t="s">
        <v>45</v>
      </c>
      <c r="AJ662" s="1">
        <v>1915</v>
      </c>
      <c r="AK662" s="1" t="s">
        <v>49</v>
      </c>
      <c r="AL662" s="1">
        <v>125</v>
      </c>
    </row>
    <row r="663" spans="1:38" x14ac:dyDescent="0.2">
      <c r="A663" s="2" t="str">
        <f>HYPERLINK("https://www.compass.com/listing/10-madison-square-west-unit-5c-manhattan-ny-10010/29513460219993537/","10 Madison Sq W, Unit 5C")</f>
        <v>10 Madison Sq W, Unit 5C</v>
      </c>
      <c r="B663" s="2" t="str">
        <f t="shared" si="101"/>
        <v>10 Madison Square West</v>
      </c>
      <c r="C663" s="1" t="s">
        <v>56</v>
      </c>
      <c r="D663" s="1" t="s">
        <v>41</v>
      </c>
      <c r="E663" s="3">
        <v>3207488</v>
      </c>
      <c r="F663" s="1">
        <v>2238.3025122121398</v>
      </c>
      <c r="H663" s="1">
        <v>2</v>
      </c>
      <c r="J663" s="1">
        <v>2.5</v>
      </c>
      <c r="M663" s="4">
        <v>1433</v>
      </c>
      <c r="N663" s="1">
        <v>1800</v>
      </c>
      <c r="O663" s="1">
        <v>4717</v>
      </c>
      <c r="P663" s="1">
        <v>2917</v>
      </c>
      <c r="Q663" s="1" t="s">
        <v>42</v>
      </c>
      <c r="S663" s="1" t="s">
        <v>42</v>
      </c>
      <c r="T663" s="1" t="s">
        <v>153</v>
      </c>
      <c r="AA663" s="1">
        <v>3207487.5</v>
      </c>
      <c r="AB663" s="1" t="s">
        <v>551</v>
      </c>
      <c r="AC663" s="5">
        <v>42409</v>
      </c>
      <c r="AF663" s="1">
        <v>10010</v>
      </c>
      <c r="AI663" s="1" t="s">
        <v>45</v>
      </c>
      <c r="AJ663" s="1">
        <v>1915</v>
      </c>
      <c r="AK663" s="1" t="s">
        <v>49</v>
      </c>
      <c r="AL663" s="1">
        <v>125</v>
      </c>
    </row>
    <row r="664" spans="1:38" x14ac:dyDescent="0.2">
      <c r="A664" s="2" t="str">
        <f>HYPERLINK("https://www.compass.com/listing/10-madison-square-west-unit-14b-manhattan-ny-10010/29374741290750977/","10 Madison Sq W, Unit 14B")</f>
        <v>10 Madison Sq W, Unit 14B</v>
      </c>
      <c r="B664" s="2" t="str">
        <f t="shared" si="101"/>
        <v>10 Madison Square West</v>
      </c>
      <c r="C664" s="1" t="s">
        <v>56</v>
      </c>
      <c r="D664" s="1" t="s">
        <v>41</v>
      </c>
      <c r="E664" s="3">
        <v>1832850</v>
      </c>
      <c r="F664" s="1">
        <v>1786.4035087719201</v>
      </c>
      <c r="H664" s="1">
        <v>1</v>
      </c>
      <c r="J664" s="1">
        <v>1.5</v>
      </c>
      <c r="M664" s="4">
        <v>1026</v>
      </c>
      <c r="N664" s="1">
        <v>1285</v>
      </c>
      <c r="O664" s="1">
        <v>2337</v>
      </c>
      <c r="P664" s="1">
        <v>1052</v>
      </c>
      <c r="Q664" s="1" t="s">
        <v>42</v>
      </c>
      <c r="S664" s="1" t="s">
        <v>42</v>
      </c>
      <c r="T664" s="1" t="s">
        <v>153</v>
      </c>
      <c r="AA664" s="1">
        <v>1832850</v>
      </c>
      <c r="AB664" s="1" t="s">
        <v>552</v>
      </c>
      <c r="AC664" s="5">
        <v>42620</v>
      </c>
      <c r="AF664" s="1">
        <v>10010</v>
      </c>
      <c r="AI664" s="1" t="s">
        <v>45</v>
      </c>
      <c r="AJ664" s="1">
        <v>1915</v>
      </c>
      <c r="AK664" s="1" t="s">
        <v>49</v>
      </c>
      <c r="AL664" s="1">
        <v>125</v>
      </c>
    </row>
    <row r="665" spans="1:38" x14ac:dyDescent="0.2">
      <c r="A665" s="2" t="str">
        <f>HYPERLINK("https://www.compass.com/listing/10-madison-square-west-unit-15b-manhattan-ny-10010/29374744528810145/","10 Madison Sq W, Unit 15B")</f>
        <v>10 Madison Sq W, Unit 15B</v>
      </c>
      <c r="B665" s="2" t="str">
        <f t="shared" si="101"/>
        <v>10 Madison Square West</v>
      </c>
      <c r="C665" s="1" t="s">
        <v>56</v>
      </c>
      <c r="D665" s="1" t="s">
        <v>41</v>
      </c>
      <c r="E665" s="3">
        <v>1832850</v>
      </c>
      <c r="F665" s="1">
        <v>1786.4035087719201</v>
      </c>
      <c r="H665" s="1">
        <v>1</v>
      </c>
      <c r="J665" s="1">
        <v>1.5</v>
      </c>
      <c r="K665" s="1">
        <v>1</v>
      </c>
      <c r="L665" s="1">
        <v>1</v>
      </c>
      <c r="M665" s="4">
        <v>1026</v>
      </c>
      <c r="N665" s="1">
        <v>1288</v>
      </c>
      <c r="O665" s="1">
        <v>3090</v>
      </c>
      <c r="P665" s="1">
        <v>1802</v>
      </c>
      <c r="Q665" s="1" t="s">
        <v>42</v>
      </c>
      <c r="S665" s="1" t="s">
        <v>42</v>
      </c>
      <c r="T665" s="1" t="s">
        <v>153</v>
      </c>
      <c r="AA665" s="1">
        <v>1832850</v>
      </c>
      <c r="AB665" s="1" t="s">
        <v>553</v>
      </c>
      <c r="AC665" s="5">
        <v>42531</v>
      </c>
      <c r="AF665" s="1">
        <v>10010</v>
      </c>
      <c r="AI665" s="1" t="s">
        <v>45</v>
      </c>
      <c r="AJ665" s="1">
        <v>1915</v>
      </c>
      <c r="AK665" s="1" t="s">
        <v>49</v>
      </c>
      <c r="AL665" s="1">
        <v>125</v>
      </c>
    </row>
    <row r="666" spans="1:38" x14ac:dyDescent="0.2">
      <c r="A666" s="2" t="str">
        <f>HYPERLINK("https://www.compass.com/listing/10-madison-square-west-unit-11g-manhattan-ny-10010/29513460664625505/","10 Madison Sq W, Unit 11G")</f>
        <v>10 Madison Sq W, Unit 11G</v>
      </c>
      <c r="B666" s="2" t="str">
        <f t="shared" si="101"/>
        <v>10 Madison Square West</v>
      </c>
      <c r="C666" s="1" t="s">
        <v>56</v>
      </c>
      <c r="D666" s="1" t="s">
        <v>41</v>
      </c>
      <c r="E666" s="3">
        <v>2138325</v>
      </c>
      <c r="F666" s="1">
        <v>2040.3864503816701</v>
      </c>
      <c r="H666" s="1">
        <v>1</v>
      </c>
      <c r="J666" s="1">
        <v>1.5</v>
      </c>
      <c r="M666" s="4">
        <v>1048</v>
      </c>
      <c r="N666" s="1">
        <v>1316</v>
      </c>
      <c r="O666" s="1">
        <v>3120</v>
      </c>
      <c r="P666" s="1">
        <v>1804</v>
      </c>
      <c r="Q666" s="1" t="s">
        <v>42</v>
      </c>
      <c r="S666" s="1" t="s">
        <v>42</v>
      </c>
      <c r="T666" s="1" t="s">
        <v>153</v>
      </c>
      <c r="AA666" s="1">
        <v>2138325</v>
      </c>
      <c r="AB666" s="1" t="s">
        <v>554</v>
      </c>
      <c r="AC666" s="5">
        <v>42550</v>
      </c>
      <c r="AF666" s="1">
        <v>10010</v>
      </c>
      <c r="AI666" s="1" t="s">
        <v>45</v>
      </c>
      <c r="AJ666" s="1">
        <v>1915</v>
      </c>
      <c r="AK666" s="1" t="s">
        <v>49</v>
      </c>
      <c r="AL666" s="1">
        <v>125</v>
      </c>
    </row>
    <row r="667" spans="1:38" x14ac:dyDescent="0.2">
      <c r="A667" s="2" t="str">
        <f>HYPERLINK("https://www.compass.com/listing/10-madison-square-west-unit-5d-manhattan-ny-10010/29374720679997105/","10 Madison Sq W, Unit 5D")</f>
        <v>10 Madison Sq W, Unit 5D</v>
      </c>
      <c r="B667" s="2" t="str">
        <f t="shared" si="101"/>
        <v>10 Madison Square West</v>
      </c>
      <c r="C667" s="1" t="s">
        <v>56</v>
      </c>
      <c r="D667" s="1" t="s">
        <v>41</v>
      </c>
      <c r="E667" s="3">
        <v>3512963</v>
      </c>
      <c r="F667" s="1">
        <v>2078.6760355029501</v>
      </c>
      <c r="H667" s="1">
        <v>2</v>
      </c>
      <c r="J667" s="1">
        <v>2</v>
      </c>
      <c r="K667" s="1">
        <v>2</v>
      </c>
      <c r="M667" s="4">
        <v>1690</v>
      </c>
      <c r="N667" s="1">
        <v>2122.92</v>
      </c>
      <c r="O667" s="1">
        <v>4012.92</v>
      </c>
      <c r="P667" s="1">
        <v>1890</v>
      </c>
      <c r="Q667" s="1" t="s">
        <v>42</v>
      </c>
      <c r="S667" s="1" t="s">
        <v>42</v>
      </c>
      <c r="T667" s="1" t="s">
        <v>153</v>
      </c>
      <c r="AA667" s="1">
        <v>3512962.5</v>
      </c>
      <c r="AB667" s="1" t="s">
        <v>555</v>
      </c>
      <c r="AC667" s="5">
        <v>42355</v>
      </c>
      <c r="AF667" s="1">
        <v>10010</v>
      </c>
      <c r="AI667" s="1" t="s">
        <v>45</v>
      </c>
      <c r="AJ667" s="1">
        <v>1915</v>
      </c>
      <c r="AK667" s="1" t="s">
        <v>49</v>
      </c>
      <c r="AL667" s="1">
        <v>125</v>
      </c>
    </row>
    <row r="668" spans="1:38" x14ac:dyDescent="0.2">
      <c r="A668" s="2" t="str">
        <f>HYPERLINK("https://www.compass.com/listing/10-madison-square-west-unit-6d-manhattan-ny-10010/29374724362539713/","10 Madison Sq W, Unit 6D")</f>
        <v>10 Madison Sq W, Unit 6D</v>
      </c>
      <c r="B668" s="2" t="str">
        <f t="shared" si="101"/>
        <v>10 Madison Square West</v>
      </c>
      <c r="C668" s="1" t="s">
        <v>56</v>
      </c>
      <c r="D668" s="1" t="s">
        <v>41</v>
      </c>
      <c r="E668" s="3">
        <v>3614788</v>
      </c>
      <c r="F668" s="1">
        <v>2138.9275147928902</v>
      </c>
      <c r="H668" s="1">
        <v>2</v>
      </c>
      <c r="J668" s="1">
        <v>2</v>
      </c>
      <c r="K668" s="1">
        <v>2</v>
      </c>
      <c r="M668" s="4">
        <v>1690</v>
      </c>
      <c r="N668" s="1">
        <v>2122.92</v>
      </c>
      <c r="O668" s="1">
        <v>4012.92</v>
      </c>
      <c r="P668" s="1">
        <v>1890</v>
      </c>
      <c r="Q668" s="1" t="s">
        <v>42</v>
      </c>
      <c r="S668" s="1" t="s">
        <v>42</v>
      </c>
      <c r="T668" s="1" t="s">
        <v>153</v>
      </c>
      <c r="AA668" s="1">
        <v>3614787.5</v>
      </c>
      <c r="AB668" s="1" t="s">
        <v>556</v>
      </c>
      <c r="AC668" s="5">
        <v>42355</v>
      </c>
      <c r="AF668" s="1">
        <v>10010</v>
      </c>
      <c r="AI668" s="1" t="s">
        <v>45</v>
      </c>
      <c r="AJ668" s="1">
        <v>1915</v>
      </c>
      <c r="AK668" s="1" t="s">
        <v>49</v>
      </c>
      <c r="AL668" s="1">
        <v>125</v>
      </c>
    </row>
    <row r="669" spans="1:38" x14ac:dyDescent="0.2">
      <c r="A669" s="2" t="str">
        <f>HYPERLINK("https://www.compass.com/listing/160-east-22nd-street-unit-18b-manhattan-ny-10010/167817282951651601/","160 E 22nd St, Unit 18B")</f>
        <v>160 E 22nd St, Unit 18B</v>
      </c>
      <c r="B669" s="2" t="str">
        <f>HYPERLINK("https://www.compass.com/building/160-e-22nd-st-manhattan-ny-10010/292796862321154661/","160 E 22nd St")</f>
        <v>160 E 22nd St</v>
      </c>
      <c r="C669" s="1" t="s">
        <v>54</v>
      </c>
      <c r="D669" s="1" t="s">
        <v>41</v>
      </c>
      <c r="E669" s="3">
        <v>3156565</v>
      </c>
      <c r="F669" s="1">
        <v>2091.8256196156299</v>
      </c>
      <c r="H669" s="1">
        <v>3</v>
      </c>
      <c r="J669" s="1">
        <v>2.5</v>
      </c>
      <c r="M669" s="4">
        <v>1509</v>
      </c>
      <c r="N669" s="1">
        <v>1452</v>
      </c>
      <c r="O669" s="1">
        <v>1992</v>
      </c>
      <c r="P669" s="1">
        <v>540</v>
      </c>
      <c r="Q669" s="1" t="s">
        <v>42</v>
      </c>
      <c r="S669" s="1" t="s">
        <v>42</v>
      </c>
      <c r="T669" s="1" t="s">
        <v>153</v>
      </c>
      <c r="AA669" s="1">
        <v>3156564.86</v>
      </c>
      <c r="AB669" s="1" t="s">
        <v>557</v>
      </c>
      <c r="AC669" s="5">
        <v>41978</v>
      </c>
      <c r="AF669" s="1">
        <v>10010</v>
      </c>
      <c r="AI669" s="1" t="s">
        <v>55</v>
      </c>
      <c r="AJ669" s="1">
        <v>2012</v>
      </c>
      <c r="AK669" s="1" t="s">
        <v>49</v>
      </c>
      <c r="AL669" s="1">
        <v>81</v>
      </c>
    </row>
    <row r="670" spans="1:38" x14ac:dyDescent="0.2">
      <c r="A670" s="2" t="str">
        <f>HYPERLINK("https://www.compass.com/listing/738-broadway-unit-ph1-manhattan-ny-10003/80698852381934497/","738 Broadway, Unit PH1")</f>
        <v>738 Broadway, Unit PH1</v>
      </c>
      <c r="B670" s="2" t="str">
        <f t="shared" ref="B670:B671" si="102">HYPERLINK("https://www.compass.com/building/738-broadway-manhattan-ny-10003/281894757351825157/","738 Broadway")</f>
        <v>738 Broadway</v>
      </c>
      <c r="C670" s="1" t="s">
        <v>144</v>
      </c>
      <c r="D670" s="1" t="s">
        <v>41</v>
      </c>
      <c r="E670" s="3">
        <v>4683950</v>
      </c>
      <c r="F670" s="1">
        <v>1469.2440401505601</v>
      </c>
      <c r="G670" s="1">
        <v>6</v>
      </c>
      <c r="H670" s="1">
        <v>3</v>
      </c>
      <c r="I670" s="1">
        <v>3</v>
      </c>
      <c r="J670" s="1">
        <v>3</v>
      </c>
      <c r="K670" s="1">
        <v>3</v>
      </c>
      <c r="M670" s="4">
        <v>3188</v>
      </c>
      <c r="N670" s="1">
        <v>3216</v>
      </c>
      <c r="O670" s="1">
        <v>4833</v>
      </c>
      <c r="P670" s="1">
        <v>1617</v>
      </c>
      <c r="Q670" s="1" t="s">
        <v>42</v>
      </c>
      <c r="S670" s="1" t="s">
        <v>42</v>
      </c>
      <c r="T670" s="1" t="s">
        <v>153</v>
      </c>
      <c r="U670" s="1">
        <v>54</v>
      </c>
      <c r="V670" s="5">
        <v>43648</v>
      </c>
      <c r="W670" s="5">
        <v>43372</v>
      </c>
      <c r="X670" s="1">
        <v>4995000</v>
      </c>
      <c r="Y670" s="1">
        <v>4950000</v>
      </c>
      <c r="Z670" s="5">
        <v>43426</v>
      </c>
      <c r="AA670" s="1">
        <v>4683950</v>
      </c>
      <c r="AB670" s="1" t="s">
        <v>558</v>
      </c>
      <c r="AC670" s="5">
        <v>43496</v>
      </c>
      <c r="AF670" s="1">
        <v>10003</v>
      </c>
      <c r="AJ670" s="1">
        <v>1900</v>
      </c>
      <c r="AL670" s="1">
        <v>4</v>
      </c>
    </row>
    <row r="671" spans="1:38" x14ac:dyDescent="0.2">
      <c r="A671" s="2" t="str">
        <f>HYPERLINK("https://www.compass.com/listing/738-broadway-unit-3-manhattan-ny-10003/70923685376041633/","738 Broadway, Unit 3")</f>
        <v>738 Broadway, Unit 3</v>
      </c>
      <c r="B671" s="2" t="str">
        <f t="shared" si="102"/>
        <v>738 Broadway</v>
      </c>
      <c r="C671" s="1" t="s">
        <v>144</v>
      </c>
      <c r="D671" s="1" t="s">
        <v>41</v>
      </c>
      <c r="E671" s="3">
        <v>4174825</v>
      </c>
      <c r="F671" s="1">
        <v>1742.41444073455</v>
      </c>
      <c r="G671" s="1">
        <v>4</v>
      </c>
      <c r="H671" s="1">
        <v>2</v>
      </c>
      <c r="I671" s="1">
        <v>3</v>
      </c>
      <c r="J671" s="1">
        <v>3</v>
      </c>
      <c r="K671" s="1">
        <v>3</v>
      </c>
      <c r="M671" s="4">
        <v>2396</v>
      </c>
      <c r="N671" s="1">
        <v>1799</v>
      </c>
      <c r="O671" s="1">
        <v>2774</v>
      </c>
      <c r="P671" s="1">
        <v>975</v>
      </c>
      <c r="Q671" s="1" t="s">
        <v>42</v>
      </c>
      <c r="S671" s="1" t="s">
        <v>42</v>
      </c>
      <c r="T671" s="1" t="s">
        <v>153</v>
      </c>
      <c r="U671" s="1">
        <v>17</v>
      </c>
      <c r="V671" s="5">
        <v>44351</v>
      </c>
      <c r="W671" s="5">
        <v>41976</v>
      </c>
      <c r="X671" s="1">
        <v>4200000</v>
      </c>
      <c r="Y671" s="1">
        <v>4200000</v>
      </c>
      <c r="Z671" s="5">
        <v>41993</v>
      </c>
      <c r="AA671" s="1">
        <v>4174825</v>
      </c>
      <c r="AB671" s="1" t="s">
        <v>559</v>
      </c>
      <c r="AC671" s="5">
        <v>42080</v>
      </c>
      <c r="AF671" s="1">
        <v>10003</v>
      </c>
      <c r="AJ671" s="1">
        <v>1900</v>
      </c>
      <c r="AL671" s="1">
        <v>4</v>
      </c>
    </row>
    <row r="672" spans="1:38" x14ac:dyDescent="0.2">
      <c r="A672" s="2" t="str">
        <f>HYPERLINK("https://www.compass.com/listing/10-madison-square-west-unit-6b-manhattan-ny-10010/29374723599231553/","10 Madison Sq W, Unit 6B")</f>
        <v>10 Madison Sq W, Unit 6B</v>
      </c>
      <c r="B672" s="2" t="str">
        <f>HYPERLINK("https://www.compass.com/building/10-madison-square-west-manhattan-ny/294838725091521285/","10 Madison Square West")</f>
        <v>10 Madison Square West</v>
      </c>
      <c r="C672" s="1" t="s">
        <v>56</v>
      </c>
      <c r="D672" s="1" t="s">
        <v>41</v>
      </c>
      <c r="E672" s="3">
        <v>3869350</v>
      </c>
      <c r="F672" s="1">
        <v>1914.5719940623401</v>
      </c>
      <c r="H672" s="1">
        <v>3</v>
      </c>
      <c r="J672" s="1">
        <v>2.5</v>
      </c>
      <c r="K672" s="1">
        <v>2</v>
      </c>
      <c r="L672" s="1">
        <v>1</v>
      </c>
      <c r="M672" s="4">
        <v>2021</v>
      </c>
      <c r="N672" s="1">
        <v>2538</v>
      </c>
      <c r="O672" s="1">
        <v>6746.89</v>
      </c>
      <c r="P672" s="1">
        <v>4208.9166666666597</v>
      </c>
      <c r="Q672" s="1" t="s">
        <v>42</v>
      </c>
      <c r="S672" s="1" t="s">
        <v>42</v>
      </c>
      <c r="T672" s="1" t="s">
        <v>153</v>
      </c>
      <c r="AA672" s="1">
        <v>3869350</v>
      </c>
      <c r="AB672" s="1" t="s">
        <v>560</v>
      </c>
      <c r="AC672" s="5">
        <v>42318</v>
      </c>
      <c r="AF672" s="1">
        <v>10010</v>
      </c>
      <c r="AI672" s="1" t="s">
        <v>45</v>
      </c>
      <c r="AJ672" s="1">
        <v>1915</v>
      </c>
      <c r="AK672" s="1" t="s">
        <v>49</v>
      </c>
      <c r="AL672" s="1">
        <v>125</v>
      </c>
    </row>
    <row r="673" spans="1:38" x14ac:dyDescent="0.2">
      <c r="A673" s="2" t="str">
        <f>HYPERLINK("https://www.compass.com/listing/293-lafayette-street-unit-ph2-manhattan-ny-10012/803381744019244217/","293 Lafayette St, Unit PH2")</f>
        <v>293 Lafayette St, Unit PH2</v>
      </c>
      <c r="B673" s="2" t="str">
        <f>HYPERLINK("https://www.compass.com/building/puck-penthouses-manhattan-ny/292811307244096869/","Puck Penthouses")</f>
        <v>Puck Penthouses</v>
      </c>
      <c r="C673" s="1" t="s">
        <v>97</v>
      </c>
      <c r="D673" s="1" t="s">
        <v>41</v>
      </c>
      <c r="E673" s="3">
        <v>28000000</v>
      </c>
      <c r="F673" s="1">
        <v>5361.9302949061603</v>
      </c>
      <c r="G673" s="1">
        <v>9</v>
      </c>
      <c r="H673" s="1">
        <v>3</v>
      </c>
      <c r="I673" s="1">
        <v>6</v>
      </c>
      <c r="J673" s="1">
        <v>5.5</v>
      </c>
      <c r="M673" s="4">
        <v>5222</v>
      </c>
      <c r="N673" s="1">
        <v>8478</v>
      </c>
      <c r="O673" s="1">
        <v>13705</v>
      </c>
      <c r="P673" s="1">
        <v>5227</v>
      </c>
      <c r="Q673" s="1" t="s">
        <v>42</v>
      </c>
      <c r="S673" s="1" t="s">
        <v>42</v>
      </c>
      <c r="T673" s="1" t="s">
        <v>153</v>
      </c>
      <c r="U673" s="1">
        <v>488</v>
      </c>
      <c r="V673" s="5">
        <v>42406</v>
      </c>
      <c r="W673" s="5">
        <v>41894</v>
      </c>
      <c r="X673" s="1">
        <v>35100000</v>
      </c>
      <c r="Y673" s="1">
        <v>35100000</v>
      </c>
      <c r="Z673" s="5">
        <v>42383</v>
      </c>
      <c r="AA673" s="1">
        <v>28000000</v>
      </c>
      <c r="AB673" s="1" t="s">
        <v>177</v>
      </c>
      <c r="AC673" s="5">
        <v>42406</v>
      </c>
      <c r="AF673" s="1">
        <v>10012</v>
      </c>
      <c r="AI673" s="1" t="s">
        <v>146</v>
      </c>
      <c r="AJ673" s="1">
        <v>1885</v>
      </c>
      <c r="AK673" s="1" t="s">
        <v>49</v>
      </c>
      <c r="AL673" s="1">
        <v>6</v>
      </c>
    </row>
    <row r="674" spans="1:38" x14ac:dyDescent="0.2">
      <c r="A674" s="2" t="str">
        <f>HYPERLINK("https://www.compass.com/listing/10-madison-square-west-unit-9a-manhattan-ny-10010/29374731325140865/","10 Madison Sq W, Unit 9A")</f>
        <v>10 Madison Sq W, Unit 9A</v>
      </c>
      <c r="B674" s="2" t="str">
        <f t="shared" ref="B674:B675" si="103">HYPERLINK("https://www.compass.com/building/10-madison-square-west-manhattan-ny/294838725091521285/","10 Madison Square West")</f>
        <v>10 Madison Square West</v>
      </c>
      <c r="C674" s="1" t="s">
        <v>56</v>
      </c>
      <c r="D674" s="1" t="s">
        <v>41</v>
      </c>
      <c r="E674" s="3">
        <v>4225738</v>
      </c>
      <c r="F674" s="1">
        <v>1916.43424036281</v>
      </c>
      <c r="H674" s="1">
        <v>3</v>
      </c>
      <c r="J674" s="1">
        <v>3.5</v>
      </c>
      <c r="M674" s="4">
        <v>2205</v>
      </c>
      <c r="N674" s="1">
        <v>2770</v>
      </c>
      <c r="O674" s="1">
        <v>6565</v>
      </c>
      <c r="P674" s="1">
        <v>3795</v>
      </c>
      <c r="Q674" s="1" t="s">
        <v>42</v>
      </c>
      <c r="S674" s="1" t="s">
        <v>42</v>
      </c>
      <c r="T674" s="1" t="s">
        <v>153</v>
      </c>
      <c r="AA674" s="1">
        <v>4225737.5</v>
      </c>
      <c r="AB674" s="1" t="s">
        <v>561</v>
      </c>
      <c r="AC674" s="5">
        <v>42304</v>
      </c>
      <c r="AF674" s="1">
        <v>10010</v>
      </c>
      <c r="AI674" s="1" t="s">
        <v>45</v>
      </c>
      <c r="AJ674" s="1">
        <v>1915</v>
      </c>
      <c r="AK674" s="1" t="s">
        <v>49</v>
      </c>
      <c r="AL674" s="1">
        <v>125</v>
      </c>
    </row>
    <row r="675" spans="1:38" x14ac:dyDescent="0.2">
      <c r="A675" s="2" t="str">
        <f>HYPERLINK("https://www.compass.com/listing/10-madison-square-west-unit-5a-manhattan-ny-10010/29374719555923601/","10 Madison Sq W, Unit 5A")</f>
        <v>10 Madison Sq W, Unit 5A</v>
      </c>
      <c r="B675" s="2" t="str">
        <f t="shared" si="103"/>
        <v>10 Madison Square West</v>
      </c>
      <c r="C675" s="1" t="s">
        <v>56</v>
      </c>
      <c r="D675" s="1" t="s">
        <v>41</v>
      </c>
      <c r="E675" s="3">
        <v>1325214</v>
      </c>
      <c r="F675" s="1">
        <v>1489.0044943820201</v>
      </c>
      <c r="H675" s="1">
        <v>1</v>
      </c>
      <c r="J675" s="1">
        <v>1</v>
      </c>
      <c r="M675" s="1">
        <v>890</v>
      </c>
      <c r="N675" s="1">
        <v>1118</v>
      </c>
      <c r="O675" s="1">
        <v>2031</v>
      </c>
      <c r="P675" s="1">
        <v>913</v>
      </c>
      <c r="Q675" s="1" t="s">
        <v>42</v>
      </c>
      <c r="S675" s="1" t="s">
        <v>42</v>
      </c>
      <c r="T675" s="1" t="s">
        <v>153</v>
      </c>
      <c r="AA675" s="1">
        <v>1325214</v>
      </c>
      <c r="AB675" s="1" t="s">
        <v>562</v>
      </c>
      <c r="AC675" s="5">
        <v>42307</v>
      </c>
      <c r="AF675" s="1">
        <v>10010</v>
      </c>
      <c r="AI675" s="1" t="s">
        <v>45</v>
      </c>
      <c r="AJ675" s="1">
        <v>1915</v>
      </c>
      <c r="AK675" s="1" t="s">
        <v>49</v>
      </c>
      <c r="AL675" s="1">
        <v>125</v>
      </c>
    </row>
    <row r="676" spans="1:38" x14ac:dyDescent="0.2">
      <c r="A676" s="2" t="str">
        <f>HYPERLINK("https://www.compass.com/listing/246-west-16th-street-unit-5-manhattan-ny-10011/837410545164788777/","246 W 16th St, Unit 5")</f>
        <v>246 W 16th St, Unit 5</v>
      </c>
      <c r="B676" s="2" t="str">
        <f>HYPERLINK("https://www.compass.com/building/246-w-16th-st-manhattan-ny-10011/281907837800567589/","246 W 16th St")</f>
        <v>246 W 16th St</v>
      </c>
      <c r="C676" s="1" t="s">
        <v>73</v>
      </c>
      <c r="D676" s="1" t="s">
        <v>41</v>
      </c>
      <c r="E676" s="3">
        <v>3875000</v>
      </c>
      <c r="F676" s="1">
        <v>2384.6153846153802</v>
      </c>
      <c r="H676" s="1">
        <v>3</v>
      </c>
      <c r="J676" s="1">
        <v>2.5</v>
      </c>
      <c r="K676" s="1">
        <v>2</v>
      </c>
      <c r="L676" s="1">
        <v>1</v>
      </c>
      <c r="M676" s="4">
        <v>1625</v>
      </c>
      <c r="N676" s="1">
        <v>714</v>
      </c>
      <c r="O676" s="1">
        <v>1807</v>
      </c>
      <c r="P676" s="1">
        <v>1093</v>
      </c>
      <c r="Q676" s="1" t="s">
        <v>42</v>
      </c>
      <c r="S676" s="1" t="s">
        <v>42</v>
      </c>
      <c r="T676" s="1" t="s">
        <v>153</v>
      </c>
      <c r="AA676" s="1">
        <v>3875000</v>
      </c>
      <c r="AB676" s="1" t="s">
        <v>563</v>
      </c>
      <c r="AC676" s="5">
        <v>44378</v>
      </c>
      <c r="AF676" s="1">
        <v>10011</v>
      </c>
      <c r="AI676" s="1" t="s">
        <v>66</v>
      </c>
      <c r="AJ676" s="1">
        <v>2019</v>
      </c>
      <c r="AL676" s="1">
        <v>7</v>
      </c>
    </row>
    <row r="677" spans="1:38" x14ac:dyDescent="0.2">
      <c r="A677" s="2" t="str">
        <f>HYPERLINK("https://www.compass.com/listing/160-east-22nd-street-unit-pha-manhattan-ny-10010/29378206029088977/","160 E 22nd St, Unit PHA")</f>
        <v>160 E 22nd St, Unit PHA</v>
      </c>
      <c r="B677" s="2" t="str">
        <f t="shared" ref="B677:B678" si="104">HYPERLINK("https://www.compass.com/building/160-e-22nd-st-manhattan-ny-10010/292796862321154661/","160 E 22nd St")</f>
        <v>160 E 22nd St</v>
      </c>
      <c r="C677" s="1" t="s">
        <v>54</v>
      </c>
      <c r="D677" s="1" t="s">
        <v>41</v>
      </c>
      <c r="E677" s="3">
        <v>4480290</v>
      </c>
      <c r="F677" s="1">
        <v>2472.5661479028699</v>
      </c>
      <c r="H677" s="1">
        <v>3</v>
      </c>
      <c r="J677" s="1">
        <v>2.5</v>
      </c>
      <c r="M677" s="4">
        <v>1812</v>
      </c>
      <c r="N677" s="1">
        <v>2304</v>
      </c>
      <c r="O677" s="1">
        <v>4706</v>
      </c>
      <c r="P677" s="1">
        <v>2402</v>
      </c>
      <c r="Q677" s="1" t="s">
        <v>42</v>
      </c>
      <c r="S677" s="1" t="s">
        <v>42</v>
      </c>
      <c r="T677" s="1" t="s">
        <v>153</v>
      </c>
      <c r="AA677" s="1">
        <v>4480289.8600000003</v>
      </c>
      <c r="AB677" s="1" t="s">
        <v>564</v>
      </c>
      <c r="AC677" s="5">
        <v>41995</v>
      </c>
      <c r="AF677" s="1">
        <v>10010</v>
      </c>
      <c r="AI677" s="1" t="s">
        <v>55</v>
      </c>
      <c r="AJ677" s="1">
        <v>2012</v>
      </c>
      <c r="AK677" s="1" t="s">
        <v>49</v>
      </c>
      <c r="AL677" s="1">
        <v>81</v>
      </c>
    </row>
    <row r="678" spans="1:38" x14ac:dyDescent="0.2">
      <c r="A678" s="2" t="str">
        <f>HYPERLINK("https://www.compass.com/listing/160-east-22nd-street-unit-phb-manhattan-ny-10010/29378207086124161/","160 E 22nd St, Unit PHB")</f>
        <v>160 E 22nd St, Unit PHB</v>
      </c>
      <c r="B678" s="2" t="str">
        <f t="shared" si="104"/>
        <v>160 E 22nd St</v>
      </c>
      <c r="C678" s="1" t="s">
        <v>54</v>
      </c>
      <c r="D678" s="1" t="s">
        <v>41</v>
      </c>
      <c r="E678" s="3">
        <v>5447627</v>
      </c>
      <c r="F678" s="1">
        <v>2896.1336310473098</v>
      </c>
      <c r="H678" s="1">
        <v>3</v>
      </c>
      <c r="J678" s="1">
        <v>2.5</v>
      </c>
      <c r="M678" s="4">
        <v>1881</v>
      </c>
      <c r="N678" s="1">
        <v>2494</v>
      </c>
      <c r="O678" s="1">
        <v>5136</v>
      </c>
      <c r="P678" s="1">
        <v>2642</v>
      </c>
      <c r="Q678" s="1" t="s">
        <v>42</v>
      </c>
      <c r="S678" s="1" t="s">
        <v>42</v>
      </c>
      <c r="T678" s="1" t="s">
        <v>153</v>
      </c>
      <c r="AA678" s="1">
        <v>5447627.3600000003</v>
      </c>
      <c r="AB678" s="1" t="s">
        <v>565</v>
      </c>
      <c r="AC678" s="5">
        <v>42018</v>
      </c>
      <c r="AF678" s="1">
        <v>10010</v>
      </c>
      <c r="AI678" s="1" t="s">
        <v>55</v>
      </c>
      <c r="AJ678" s="1">
        <v>2012</v>
      </c>
      <c r="AK678" s="1" t="s">
        <v>49</v>
      </c>
      <c r="AL678" s="1">
        <v>81</v>
      </c>
    </row>
    <row r="679" spans="1:38" x14ac:dyDescent="0.2">
      <c r="A679" s="2" t="str">
        <f>HYPERLINK("https://www.compass.com/listing/10-madison-square-west-unit-14c-manhattan-ny-10010/29374741626350497/","10 Madison Sq W, Unit 14C")</f>
        <v>10 Madison Sq W, Unit 14C</v>
      </c>
      <c r="B679" s="2" t="str">
        <f t="shared" ref="B679:B682" si="105">HYPERLINK("https://www.compass.com/building/10-madison-square-west-manhattan-ny/294838725091521285/","10 Madison Square West")</f>
        <v>10 Madison Square West</v>
      </c>
      <c r="C679" s="1" t="s">
        <v>56</v>
      </c>
      <c r="D679" s="1" t="s">
        <v>41</v>
      </c>
      <c r="E679" s="3">
        <v>5091250</v>
      </c>
      <c r="F679" s="1">
        <v>2861.86059584035</v>
      </c>
      <c r="H679" s="1">
        <v>2</v>
      </c>
      <c r="J679" s="1">
        <v>2.5</v>
      </c>
      <c r="M679" s="4">
        <v>1779</v>
      </c>
      <c r="N679" s="1">
        <v>1800</v>
      </c>
      <c r="O679" s="1">
        <v>4784</v>
      </c>
      <c r="P679" s="1">
        <v>2984</v>
      </c>
      <c r="Q679" s="1" t="s">
        <v>42</v>
      </c>
      <c r="S679" s="1" t="s">
        <v>42</v>
      </c>
      <c r="T679" s="1" t="s">
        <v>153</v>
      </c>
      <c r="AA679" s="1">
        <v>5091250</v>
      </c>
      <c r="AB679" s="1" t="s">
        <v>566</v>
      </c>
      <c r="AC679" s="5">
        <v>42506</v>
      </c>
      <c r="AF679" s="1">
        <v>10010</v>
      </c>
      <c r="AI679" s="1" t="s">
        <v>45</v>
      </c>
      <c r="AJ679" s="1">
        <v>1915</v>
      </c>
      <c r="AK679" s="1" t="s">
        <v>49</v>
      </c>
      <c r="AL679" s="1">
        <v>125</v>
      </c>
    </row>
    <row r="680" spans="1:38" x14ac:dyDescent="0.2">
      <c r="A680" s="2" t="str">
        <f>HYPERLINK("https://www.compass.com/listing/10-madison-square-west-unit-17c-manhattan-ny-10010/29374750266561729/","10 Madison Sq W, Unit 17C")</f>
        <v>10 Madison Sq W, Unit 17C</v>
      </c>
      <c r="B680" s="2" t="str">
        <f t="shared" si="105"/>
        <v>10 Madison Square West</v>
      </c>
      <c r="C680" s="1" t="s">
        <v>56</v>
      </c>
      <c r="D680" s="1" t="s">
        <v>41</v>
      </c>
      <c r="E680" s="3">
        <v>4454844</v>
      </c>
      <c r="F680" s="1">
        <v>2504.12802136031</v>
      </c>
      <c r="H680" s="1">
        <v>2</v>
      </c>
      <c r="J680" s="1">
        <v>2.5</v>
      </c>
      <c r="K680" s="1">
        <v>2</v>
      </c>
      <c r="L680" s="1">
        <v>1</v>
      </c>
      <c r="M680" s="4">
        <v>1779</v>
      </c>
      <c r="N680" s="1">
        <v>2228</v>
      </c>
      <c r="O680" s="1">
        <v>5779</v>
      </c>
      <c r="P680" s="1">
        <v>3551</v>
      </c>
      <c r="Q680" s="1" t="s">
        <v>42</v>
      </c>
      <c r="S680" s="1" t="s">
        <v>42</v>
      </c>
      <c r="T680" s="1" t="s">
        <v>153</v>
      </c>
      <c r="AA680" s="1">
        <v>4454843.75</v>
      </c>
      <c r="AB680" s="1" t="s">
        <v>567</v>
      </c>
      <c r="AC680" s="5">
        <v>42726</v>
      </c>
      <c r="AF680" s="1">
        <v>10010</v>
      </c>
      <c r="AI680" s="1" t="s">
        <v>45</v>
      </c>
      <c r="AJ680" s="1">
        <v>1915</v>
      </c>
      <c r="AK680" s="1" t="s">
        <v>49</v>
      </c>
      <c r="AL680" s="1">
        <v>125</v>
      </c>
    </row>
    <row r="681" spans="1:38" x14ac:dyDescent="0.2">
      <c r="A681" s="2" t="str">
        <f>HYPERLINK("https://www.compass.com/listing/10-madison-square-west-unit-21a-manhattan-ny-10010/29374754335093073/","10 Madison Sq W, Unit 21A")</f>
        <v>10 Madison Sq W, Unit 21A</v>
      </c>
      <c r="B681" s="2" t="str">
        <f t="shared" si="105"/>
        <v>10 Madison Square West</v>
      </c>
      <c r="C681" s="1" t="s">
        <v>56</v>
      </c>
      <c r="D681" s="1" t="s">
        <v>41</v>
      </c>
      <c r="E681" s="3">
        <v>7636875</v>
      </c>
      <c r="F681" s="1">
        <v>3963.09029579657</v>
      </c>
      <c r="H681" s="1">
        <v>2</v>
      </c>
      <c r="J681" s="1">
        <v>2.5</v>
      </c>
      <c r="M681" s="4">
        <v>1927</v>
      </c>
      <c r="N681" s="1">
        <v>2414</v>
      </c>
      <c r="O681" s="1">
        <v>4390</v>
      </c>
      <c r="P681" s="1">
        <v>1976</v>
      </c>
      <c r="Q681" s="1" t="s">
        <v>42</v>
      </c>
      <c r="S681" s="1" t="s">
        <v>42</v>
      </c>
      <c r="T681" s="1" t="s">
        <v>153</v>
      </c>
      <c r="AA681" s="1">
        <v>7636875</v>
      </c>
      <c r="AB681" s="1" t="s">
        <v>568</v>
      </c>
      <c r="AC681" s="5">
        <v>42830</v>
      </c>
      <c r="AF681" s="1">
        <v>10010</v>
      </c>
      <c r="AI681" s="1" t="s">
        <v>45</v>
      </c>
      <c r="AJ681" s="1">
        <v>1915</v>
      </c>
      <c r="AK681" s="1" t="s">
        <v>49</v>
      </c>
      <c r="AL681" s="1">
        <v>125</v>
      </c>
    </row>
    <row r="682" spans="1:38" x14ac:dyDescent="0.2">
      <c r="A682" s="2" t="str">
        <f>HYPERLINK("https://www.compass.com/listing/10-madison-square-west-unit-12c-manhattan-ny-10010/528128669716701433/","10 Madison Sq W, Unit 12C")</f>
        <v>10 Madison Sq W, Unit 12C</v>
      </c>
      <c r="B682" s="2" t="str">
        <f t="shared" si="105"/>
        <v>10 Madison Square West</v>
      </c>
      <c r="C682" s="1" t="s">
        <v>56</v>
      </c>
      <c r="D682" s="1" t="s">
        <v>41</v>
      </c>
      <c r="E682" s="3">
        <v>4836688</v>
      </c>
      <c r="F682" s="1">
        <v>2718.7675660483401</v>
      </c>
      <c r="H682" s="1">
        <v>2</v>
      </c>
      <c r="J682" s="1">
        <v>2.5</v>
      </c>
      <c r="M682" s="4">
        <v>1779</v>
      </c>
      <c r="N682" s="1">
        <v>2228</v>
      </c>
      <c r="O682" s="1">
        <v>4052</v>
      </c>
      <c r="P682" s="1">
        <v>1824</v>
      </c>
      <c r="Q682" s="1" t="s">
        <v>42</v>
      </c>
      <c r="S682" s="1" t="s">
        <v>42</v>
      </c>
      <c r="T682" s="1" t="s">
        <v>153</v>
      </c>
      <c r="AA682" s="1">
        <v>4836687.5</v>
      </c>
      <c r="AB682" s="1" t="s">
        <v>569</v>
      </c>
      <c r="AC682" s="5">
        <v>42489</v>
      </c>
      <c r="AF682" s="1">
        <v>10010</v>
      </c>
      <c r="AI682" s="1" t="s">
        <v>45</v>
      </c>
      <c r="AJ682" s="1">
        <v>1915</v>
      </c>
      <c r="AK682" s="1" t="s">
        <v>49</v>
      </c>
      <c r="AL682" s="1">
        <v>125</v>
      </c>
    </row>
    <row r="683" spans="1:38" x14ac:dyDescent="0.2">
      <c r="A683" s="2" t="str">
        <f>HYPERLINK("https://www.compass.com/listing/160-west-12th-street-unit-64-manhattan-ny-10011/276906355984481793/","160 W 12th St, Unit 64")</f>
        <v>160 W 12th St, Unit 64</v>
      </c>
      <c r="B683" s="2" t="str">
        <f>HYPERLINK("https://www.compass.com/building/the-greenwich-lane-manhattan-ny/282059161326355877/","The Greenwich Lane")</f>
        <v>The Greenwich Lane</v>
      </c>
      <c r="C683" s="1" t="s">
        <v>40</v>
      </c>
      <c r="D683" s="1" t="s">
        <v>41</v>
      </c>
      <c r="E683" s="3">
        <v>8300000</v>
      </c>
      <c r="F683" s="1">
        <v>2945.3513129879302</v>
      </c>
      <c r="H683" s="1">
        <v>4</v>
      </c>
      <c r="J683" s="1">
        <v>4</v>
      </c>
      <c r="K683" s="1">
        <v>4</v>
      </c>
      <c r="M683" s="4">
        <v>2818</v>
      </c>
      <c r="N683" s="1">
        <v>4952</v>
      </c>
      <c r="O683" s="1">
        <v>9806</v>
      </c>
      <c r="P683" s="1">
        <v>4854</v>
      </c>
      <c r="Q683" s="1" t="s">
        <v>42</v>
      </c>
      <c r="S683" s="1" t="s">
        <v>42</v>
      </c>
      <c r="T683" s="1" t="s">
        <v>153</v>
      </c>
      <c r="AA683" s="1">
        <v>8300000</v>
      </c>
      <c r="AB683" s="1" t="s">
        <v>570</v>
      </c>
      <c r="AC683" s="5">
        <v>43599</v>
      </c>
      <c r="AF683" s="1">
        <v>10011</v>
      </c>
      <c r="AI683" s="1" t="s">
        <v>45</v>
      </c>
      <c r="AJ683" s="1">
        <v>2016</v>
      </c>
      <c r="AK683" s="1" t="s">
        <v>49</v>
      </c>
      <c r="AL683" s="1">
        <v>57</v>
      </c>
    </row>
    <row r="684" spans="1:38" x14ac:dyDescent="0.2">
      <c r="A684" s="2" t="str">
        <f>HYPERLINK("https://www.compass.com/listing/160-east-22nd-street-unit-7e-manhattan-ny-10010/167817258448456433/","160 E 22nd St, Unit 7E")</f>
        <v>160 E 22nd St, Unit 7E</v>
      </c>
      <c r="B684" s="2" t="str">
        <f t="shared" ref="B684:B687" si="106">HYPERLINK("https://www.compass.com/building/160-e-22nd-st-manhattan-ny-10010/292796862321154661/","160 E 22nd St")</f>
        <v>160 E 22nd St</v>
      </c>
      <c r="C684" s="1" t="s">
        <v>54</v>
      </c>
      <c r="D684" s="1" t="s">
        <v>41</v>
      </c>
      <c r="E684" s="3">
        <v>1832840</v>
      </c>
      <c r="F684" s="1">
        <v>1983.5929220779201</v>
      </c>
      <c r="H684" s="1">
        <v>1</v>
      </c>
      <c r="J684" s="1">
        <v>1</v>
      </c>
      <c r="M684" s="1">
        <v>924</v>
      </c>
      <c r="N684" s="1">
        <v>879</v>
      </c>
      <c r="O684" s="1">
        <v>1206</v>
      </c>
      <c r="P684" s="1">
        <v>327</v>
      </c>
      <c r="Q684" s="1" t="s">
        <v>42</v>
      </c>
      <c r="S684" s="1" t="s">
        <v>42</v>
      </c>
      <c r="T684" s="1" t="s">
        <v>153</v>
      </c>
      <c r="AA684" s="1">
        <v>1832839.86</v>
      </c>
      <c r="AB684" s="1" t="s">
        <v>571</v>
      </c>
      <c r="AC684" s="5">
        <v>41912</v>
      </c>
      <c r="AF684" s="1">
        <v>10010</v>
      </c>
      <c r="AI684" s="1" t="s">
        <v>55</v>
      </c>
      <c r="AJ684" s="1">
        <v>2012</v>
      </c>
      <c r="AK684" s="1" t="s">
        <v>49</v>
      </c>
      <c r="AL684" s="1">
        <v>81</v>
      </c>
    </row>
    <row r="685" spans="1:38" x14ac:dyDescent="0.2">
      <c r="A685" s="2" t="str">
        <f>HYPERLINK("https://www.compass.com/listing/160-east-22nd-street-unit-10d-manhattan-ny-10010/167817267223011313/","160 E 22nd St, Unit 10D")</f>
        <v>160 E 22nd St, Unit 10D</v>
      </c>
      <c r="B685" s="2" t="str">
        <f t="shared" si="106"/>
        <v>160 E 22nd St</v>
      </c>
      <c r="C685" s="1" t="s">
        <v>54</v>
      </c>
      <c r="D685" s="1" t="s">
        <v>41</v>
      </c>
      <c r="E685" s="3">
        <v>1792110</v>
      </c>
      <c r="F685" s="1">
        <v>2151.3923889555799</v>
      </c>
      <c r="H685" s="1">
        <v>1</v>
      </c>
      <c r="J685" s="1">
        <v>1</v>
      </c>
      <c r="M685" s="1">
        <v>833</v>
      </c>
      <c r="N685" s="1">
        <v>794</v>
      </c>
      <c r="O685" s="1">
        <v>1089</v>
      </c>
      <c r="P685" s="1">
        <v>295</v>
      </c>
      <c r="Q685" s="1" t="s">
        <v>42</v>
      </c>
      <c r="S685" s="1" t="s">
        <v>42</v>
      </c>
      <c r="T685" s="1" t="s">
        <v>153</v>
      </c>
      <c r="AA685" s="1">
        <v>1792109.86</v>
      </c>
      <c r="AB685" s="1" t="s">
        <v>572</v>
      </c>
      <c r="AC685" s="5">
        <v>41943</v>
      </c>
      <c r="AF685" s="1">
        <v>10010</v>
      </c>
      <c r="AI685" s="1" t="s">
        <v>55</v>
      </c>
      <c r="AJ685" s="1">
        <v>2012</v>
      </c>
      <c r="AK685" s="1" t="s">
        <v>49</v>
      </c>
      <c r="AL685" s="1">
        <v>81</v>
      </c>
    </row>
    <row r="686" spans="1:38" x14ac:dyDescent="0.2">
      <c r="A686" s="2" t="str">
        <f>HYPERLINK("https://www.compass.com/listing/160-east-22nd-street-unit-7b-manhattan-ny-10010/192574698603697889/","160 E 22nd St, Unit 7B")</f>
        <v>160 E 22nd St, Unit 7B</v>
      </c>
      <c r="B686" s="2" t="str">
        <f t="shared" si="106"/>
        <v>160 E 22nd St</v>
      </c>
      <c r="C686" s="1" t="s">
        <v>54</v>
      </c>
      <c r="D686" s="1" t="s">
        <v>41</v>
      </c>
      <c r="E686" s="3">
        <v>1588459</v>
      </c>
      <c r="F686" s="1">
        <v>2194.0041436463998</v>
      </c>
      <c r="G686" s="1">
        <v>2</v>
      </c>
      <c r="H686" s="1">
        <v>1</v>
      </c>
      <c r="I686" s="1">
        <v>1</v>
      </c>
      <c r="J686" s="1">
        <v>1</v>
      </c>
      <c r="M686" s="1">
        <v>724</v>
      </c>
      <c r="N686" s="1">
        <v>688</v>
      </c>
      <c r="O686" s="1">
        <v>944</v>
      </c>
      <c r="P686" s="1">
        <v>256</v>
      </c>
      <c r="Q686" s="1" t="s">
        <v>42</v>
      </c>
      <c r="S686" s="1" t="s">
        <v>42</v>
      </c>
      <c r="T686" s="1" t="s">
        <v>153</v>
      </c>
      <c r="U686" s="1">
        <v>216</v>
      </c>
      <c r="V686" s="5">
        <v>43659</v>
      </c>
      <c r="W686" s="5">
        <v>41660</v>
      </c>
      <c r="X686" s="1">
        <v>1559990</v>
      </c>
      <c r="Y686" s="1">
        <v>1559990</v>
      </c>
      <c r="AA686" s="1">
        <v>1588459</v>
      </c>
      <c r="AB686" s="1" t="s">
        <v>573</v>
      </c>
      <c r="AC686" s="5">
        <v>41877</v>
      </c>
      <c r="AF686" s="1">
        <v>10010</v>
      </c>
      <c r="AI686" s="1" t="s">
        <v>55</v>
      </c>
      <c r="AJ686" s="1">
        <v>2012</v>
      </c>
      <c r="AK686" s="1" t="s">
        <v>49</v>
      </c>
      <c r="AL686" s="1">
        <v>81</v>
      </c>
    </row>
    <row r="687" spans="1:38" x14ac:dyDescent="0.2">
      <c r="A687" s="2" t="str">
        <f>HYPERLINK("https://www.compass.com/listing/160-east-22nd-street-unit-6a-manhattan-ny-10010/192574731310967489/","160 E 22nd St, Unit 6A")</f>
        <v>160 E 22nd St, Unit 6A</v>
      </c>
      <c r="B687" s="2" t="str">
        <f t="shared" si="106"/>
        <v>160 E 22nd St</v>
      </c>
      <c r="C687" s="1" t="s">
        <v>54</v>
      </c>
      <c r="D687" s="1" t="s">
        <v>41</v>
      </c>
      <c r="E687" s="3">
        <v>1654643</v>
      </c>
      <c r="F687" s="1">
        <v>1917.3151796060199</v>
      </c>
      <c r="G687" s="1">
        <v>4</v>
      </c>
      <c r="H687" s="1">
        <v>1</v>
      </c>
      <c r="I687" s="1">
        <v>1</v>
      </c>
      <c r="J687" s="1">
        <v>1</v>
      </c>
      <c r="M687" s="1">
        <v>863</v>
      </c>
      <c r="N687" s="1">
        <v>804</v>
      </c>
      <c r="O687" s="1">
        <v>1103</v>
      </c>
      <c r="P687" s="1">
        <v>299</v>
      </c>
      <c r="Q687" s="1" t="s">
        <v>42</v>
      </c>
      <c r="S687" s="1" t="s">
        <v>42</v>
      </c>
      <c r="T687" s="1" t="s">
        <v>153</v>
      </c>
      <c r="U687" s="1">
        <v>363</v>
      </c>
      <c r="V687" s="5">
        <v>43658</v>
      </c>
      <c r="W687" s="5">
        <v>41565</v>
      </c>
      <c r="X687" s="1">
        <v>1629990</v>
      </c>
      <c r="Y687" s="1">
        <v>1629990</v>
      </c>
      <c r="AA687" s="1">
        <v>1654643</v>
      </c>
      <c r="AB687" s="1" t="s">
        <v>574</v>
      </c>
      <c r="AC687" s="5">
        <v>41929</v>
      </c>
      <c r="AF687" s="1">
        <v>10010</v>
      </c>
      <c r="AI687" s="1" t="s">
        <v>55</v>
      </c>
      <c r="AJ687" s="1">
        <v>2012</v>
      </c>
      <c r="AK687" s="1" t="s">
        <v>49</v>
      </c>
      <c r="AL687" s="1">
        <v>81</v>
      </c>
    </row>
    <row r="688" spans="1:38" x14ac:dyDescent="0.2">
      <c r="A688" s="2" t="str">
        <f>HYPERLINK("https://www.compass.com/listing/246-west-16th-street-unit-ph-manhattan-ny-10011/744142196282078641/","246 W 16th St, Unit PH")</f>
        <v>246 W 16th St, Unit PH</v>
      </c>
      <c r="B688" s="2" t="str">
        <f>HYPERLINK("https://www.compass.com/building/246-w-16th-st-manhattan-ny-10011/281907837800567589/","246 W 16th St")</f>
        <v>246 W 16th St</v>
      </c>
      <c r="C688" s="1" t="s">
        <v>73</v>
      </c>
      <c r="D688" s="1" t="s">
        <v>41</v>
      </c>
      <c r="E688" s="3">
        <v>5000000</v>
      </c>
      <c r="G688" s="1">
        <v>6</v>
      </c>
      <c r="H688" s="1">
        <v>3</v>
      </c>
      <c r="I688" s="1">
        <v>4</v>
      </c>
      <c r="J688" s="1">
        <v>3.5</v>
      </c>
      <c r="K688" s="1">
        <v>3</v>
      </c>
      <c r="L688" s="1">
        <v>1</v>
      </c>
      <c r="N688" s="1">
        <v>876</v>
      </c>
      <c r="O688" s="1">
        <v>2216</v>
      </c>
      <c r="P688" s="1">
        <v>1340</v>
      </c>
      <c r="Q688" s="1" t="s">
        <v>42</v>
      </c>
      <c r="S688" s="1" t="s">
        <v>42</v>
      </c>
      <c r="T688" s="1" t="s">
        <v>153</v>
      </c>
      <c r="V688" s="5">
        <v>44363</v>
      </c>
      <c r="W688" s="5">
        <v>44278</v>
      </c>
      <c r="X688" s="1">
        <v>5000000</v>
      </c>
      <c r="Y688" s="1">
        <v>5000000</v>
      </c>
      <c r="Z688" s="5">
        <v>44279</v>
      </c>
      <c r="AA688" s="1">
        <v>5000000</v>
      </c>
      <c r="AB688" s="1" t="s">
        <v>177</v>
      </c>
      <c r="AC688" s="5">
        <v>44350</v>
      </c>
      <c r="AF688" s="1">
        <v>10011</v>
      </c>
      <c r="AI688" s="1" t="s">
        <v>66</v>
      </c>
      <c r="AJ688" s="1">
        <v>2019</v>
      </c>
      <c r="AL688" s="1">
        <v>7</v>
      </c>
    </row>
    <row r="689" spans="1:38" x14ac:dyDescent="0.2">
      <c r="A689" s="2" t="str">
        <f>HYPERLINK("https://www.compass.com/listing/10-madison-square-west-unit-5f-manhattan-ny-10010/29374722181501585/","10 Madison Sq W, Unit 5F")</f>
        <v>10 Madison Sq W, Unit 5F</v>
      </c>
      <c r="B689" s="2" t="str">
        <f t="shared" ref="B689:B693" si="107">HYPERLINK("https://www.compass.com/building/10-madison-square-west-manhattan-ny/294838725091521285/","10 Madison Square West")</f>
        <v>10 Madison Square West</v>
      </c>
      <c r="C689" s="1" t="s">
        <v>56</v>
      </c>
      <c r="D689" s="1" t="s">
        <v>41</v>
      </c>
      <c r="E689" s="3">
        <v>7636875</v>
      </c>
      <c r="F689" s="1">
        <v>3194.00878293601</v>
      </c>
      <c r="H689" s="1">
        <v>3</v>
      </c>
      <c r="J689" s="1">
        <v>3</v>
      </c>
      <c r="M689" s="4">
        <v>2391</v>
      </c>
      <c r="N689" s="1">
        <v>3100</v>
      </c>
      <c r="O689" s="1">
        <v>5773</v>
      </c>
      <c r="P689" s="1">
        <v>2673</v>
      </c>
      <c r="Q689" s="1" t="s">
        <v>42</v>
      </c>
      <c r="S689" s="1" t="s">
        <v>42</v>
      </c>
      <c r="T689" s="1" t="s">
        <v>153</v>
      </c>
      <c r="AA689" s="1">
        <v>7636875</v>
      </c>
      <c r="AB689" s="1" t="s">
        <v>575</v>
      </c>
      <c r="AC689" s="5">
        <v>42433</v>
      </c>
      <c r="AF689" s="1">
        <v>10010</v>
      </c>
      <c r="AI689" s="1" t="s">
        <v>45</v>
      </c>
      <c r="AJ689" s="1">
        <v>1915</v>
      </c>
      <c r="AK689" s="1" t="s">
        <v>49</v>
      </c>
      <c r="AL689" s="1">
        <v>125</v>
      </c>
    </row>
    <row r="690" spans="1:38" x14ac:dyDescent="0.2">
      <c r="A690" s="2" t="str">
        <f>HYPERLINK("https://www.compass.com/listing/10-madison-square-west-unit-6g-manhattan-ny-10010/29374725738326625/","10 Madison Sq W, Unit 6G")</f>
        <v>10 Madison Sq W, Unit 6G</v>
      </c>
      <c r="B690" s="2" t="str">
        <f t="shared" si="107"/>
        <v>10 Madison Square West</v>
      </c>
      <c r="C690" s="1" t="s">
        <v>56</v>
      </c>
      <c r="D690" s="1" t="s">
        <v>41</v>
      </c>
      <c r="E690" s="3">
        <v>4999500</v>
      </c>
      <c r="F690" s="1">
        <v>2123.8317757009299</v>
      </c>
      <c r="H690" s="1">
        <v>3</v>
      </c>
      <c r="J690" s="1">
        <v>3</v>
      </c>
      <c r="M690" s="4">
        <v>2354</v>
      </c>
      <c r="N690" s="1">
        <v>2867</v>
      </c>
      <c r="O690" s="1">
        <v>5099</v>
      </c>
      <c r="P690" s="1">
        <v>2232</v>
      </c>
      <c r="Q690" s="1" t="s">
        <v>42</v>
      </c>
      <c r="S690" s="1" t="s">
        <v>42</v>
      </c>
      <c r="T690" s="1" t="s">
        <v>153</v>
      </c>
      <c r="AA690" s="1">
        <v>4999500</v>
      </c>
      <c r="AB690" s="1" t="s">
        <v>576</v>
      </c>
      <c r="AC690" s="5">
        <v>42306</v>
      </c>
      <c r="AF690" s="1">
        <v>10010</v>
      </c>
      <c r="AI690" s="1" t="s">
        <v>45</v>
      </c>
      <c r="AJ690" s="1">
        <v>1915</v>
      </c>
      <c r="AK690" s="1" t="s">
        <v>49</v>
      </c>
      <c r="AL690" s="1">
        <v>125</v>
      </c>
    </row>
    <row r="691" spans="1:38" x14ac:dyDescent="0.2">
      <c r="A691" s="2" t="str">
        <f>HYPERLINK("https://www.compass.com/listing/10-madison-square-west-unit-12d-manhattan-ny-10010/29374739176821713/","10 Madison Sq W, Unit 12D")</f>
        <v>10 Madison Sq W, Unit 12D</v>
      </c>
      <c r="B691" s="2" t="str">
        <f t="shared" si="107"/>
        <v>10 Madison Square West</v>
      </c>
      <c r="C691" s="1" t="s">
        <v>56</v>
      </c>
      <c r="D691" s="1" t="s">
        <v>41</v>
      </c>
      <c r="E691" s="3">
        <v>9927938</v>
      </c>
      <c r="F691" s="1">
        <v>3000.2833182230202</v>
      </c>
      <c r="H691" s="1">
        <v>3</v>
      </c>
      <c r="J691" s="1">
        <v>3</v>
      </c>
      <c r="M691" s="4">
        <v>3309</v>
      </c>
      <c r="Q691" s="1" t="s">
        <v>42</v>
      </c>
      <c r="S691" s="1" t="s">
        <v>42</v>
      </c>
      <c r="T691" s="1" t="s">
        <v>153</v>
      </c>
      <c r="AA691" s="1">
        <v>9927937.5</v>
      </c>
      <c r="AB691" s="1" t="s">
        <v>577</v>
      </c>
      <c r="AC691" s="5">
        <v>40294</v>
      </c>
      <c r="AF691" s="1">
        <v>10010</v>
      </c>
      <c r="AI691" s="1" t="s">
        <v>45</v>
      </c>
      <c r="AJ691" s="1">
        <v>1915</v>
      </c>
      <c r="AK691" s="1" t="s">
        <v>49</v>
      </c>
      <c r="AL691" s="1">
        <v>125</v>
      </c>
    </row>
    <row r="692" spans="1:38" x14ac:dyDescent="0.2">
      <c r="A692" s="2" t="str">
        <f>HYPERLINK("https://www.compass.com/listing/10-madison-square-west-unit-16e-manhattan-ny-10010/29374748555340833/","10 Madison Sq W, Unit 16E")</f>
        <v>10 Madison Sq W, Unit 16E</v>
      </c>
      <c r="B692" s="2" t="str">
        <f t="shared" si="107"/>
        <v>10 Madison Square West</v>
      </c>
      <c r="C692" s="1" t="s">
        <v>56</v>
      </c>
      <c r="D692" s="1" t="s">
        <v>41</v>
      </c>
      <c r="E692" s="3">
        <v>9571550</v>
      </c>
      <c r="F692" s="1">
        <v>4078.20622070728</v>
      </c>
      <c r="H692" s="1">
        <v>3</v>
      </c>
      <c r="J692" s="1">
        <v>3</v>
      </c>
      <c r="M692" s="4">
        <v>2347</v>
      </c>
      <c r="N692" s="1">
        <v>2940</v>
      </c>
      <c r="O692" s="1">
        <v>5346</v>
      </c>
      <c r="P692" s="1">
        <v>2406</v>
      </c>
      <c r="Q692" s="1" t="s">
        <v>42</v>
      </c>
      <c r="S692" s="1" t="s">
        <v>42</v>
      </c>
      <c r="T692" s="1" t="s">
        <v>153</v>
      </c>
      <c r="AA692" s="1">
        <v>9571550</v>
      </c>
      <c r="AB692" s="1" t="s">
        <v>578</v>
      </c>
      <c r="AC692" s="5">
        <v>42580</v>
      </c>
      <c r="AF692" s="1">
        <v>10010</v>
      </c>
      <c r="AI692" s="1" t="s">
        <v>45</v>
      </c>
      <c r="AJ692" s="1">
        <v>1915</v>
      </c>
      <c r="AK692" s="1" t="s">
        <v>49</v>
      </c>
      <c r="AL692" s="1">
        <v>125</v>
      </c>
    </row>
    <row r="693" spans="1:38" x14ac:dyDescent="0.2">
      <c r="A693" s="2" t="str">
        <f>HYPERLINK("https://www.compass.com/listing/10-madison-square-west-unit-6g-manhattan-ny-10010/79389259382936673/","10 Madison Sq W, Unit 6G")</f>
        <v>10 Madison Sq W, Unit 6G</v>
      </c>
      <c r="B693" s="2" t="str">
        <f t="shared" si="107"/>
        <v>10 Madison Square West</v>
      </c>
      <c r="C693" s="1" t="s">
        <v>56</v>
      </c>
      <c r="D693" s="1" t="s">
        <v>41</v>
      </c>
      <c r="E693" s="3">
        <v>5950000</v>
      </c>
      <c r="F693" s="1">
        <v>2527.61257434154</v>
      </c>
      <c r="H693" s="1">
        <v>3</v>
      </c>
      <c r="J693" s="1">
        <v>3</v>
      </c>
      <c r="M693" s="4">
        <v>2354</v>
      </c>
      <c r="N693" s="1">
        <v>2867</v>
      </c>
      <c r="O693" s="1">
        <v>5099</v>
      </c>
      <c r="P693" s="1">
        <v>2232</v>
      </c>
      <c r="Q693" s="1" t="s">
        <v>42</v>
      </c>
      <c r="S693" s="1" t="s">
        <v>42</v>
      </c>
      <c r="T693" s="1" t="s">
        <v>153</v>
      </c>
      <c r="AA693" s="1">
        <v>5950000</v>
      </c>
      <c r="AB693" s="1" t="s">
        <v>579</v>
      </c>
      <c r="AC693" s="5">
        <v>42529</v>
      </c>
      <c r="AF693" s="1">
        <v>10010</v>
      </c>
      <c r="AI693" s="1" t="s">
        <v>45</v>
      </c>
      <c r="AJ693" s="1">
        <v>1915</v>
      </c>
      <c r="AK693" s="1" t="s">
        <v>49</v>
      </c>
      <c r="AL693" s="1">
        <v>125</v>
      </c>
    </row>
    <row r="694" spans="1:38" x14ac:dyDescent="0.2">
      <c r="A694" s="2" t="str">
        <f>HYPERLINK("https://www.compass.com/listing/54-greene-street-unit-2a-manhattan-ny-10013/29362477280075281/","54 Greene St, Unit 2A")</f>
        <v>54 Greene St, Unit 2A</v>
      </c>
      <c r="B694" s="2" t="str">
        <f t="shared" ref="B694:B695" si="108">HYPERLINK("https://www.compass.com/building/54-greene-st-manhattan-ny-10013/292817693046776565/","54 Greene St")</f>
        <v>54 Greene St</v>
      </c>
      <c r="C694" s="1" t="s">
        <v>50</v>
      </c>
      <c r="D694" s="1" t="s">
        <v>41</v>
      </c>
      <c r="E694" s="3">
        <v>3003838</v>
      </c>
      <c r="F694" s="1">
        <v>1616.70505920344</v>
      </c>
      <c r="G694" s="1">
        <v>4</v>
      </c>
      <c r="H694" s="1">
        <v>1</v>
      </c>
      <c r="I694" s="1">
        <v>2</v>
      </c>
      <c r="J694" s="1">
        <v>2</v>
      </c>
      <c r="M694" s="4">
        <v>1858</v>
      </c>
      <c r="N694" s="1">
        <v>631</v>
      </c>
      <c r="O694" s="1">
        <v>1466</v>
      </c>
      <c r="Q694" s="1" t="s">
        <v>580</v>
      </c>
      <c r="S694" s="1" t="s">
        <v>580</v>
      </c>
      <c r="T694" s="1" t="s">
        <v>153</v>
      </c>
      <c r="U694" s="1">
        <v>49</v>
      </c>
      <c r="V694" s="5">
        <v>43666</v>
      </c>
      <c r="W694" s="5">
        <v>42679</v>
      </c>
      <c r="X694" s="1">
        <v>2888000</v>
      </c>
      <c r="Y694" s="1">
        <v>2888000</v>
      </c>
      <c r="Z694" s="5">
        <v>42728</v>
      </c>
      <c r="AA694" s="1">
        <v>3003838</v>
      </c>
      <c r="AB694" s="1" t="s">
        <v>581</v>
      </c>
      <c r="AC694" s="5">
        <v>42913</v>
      </c>
      <c r="AF694" s="1">
        <v>10013</v>
      </c>
      <c r="AI694" s="1" t="s">
        <v>145</v>
      </c>
      <c r="AJ694" s="1">
        <v>1910</v>
      </c>
      <c r="AL694" s="1">
        <v>5</v>
      </c>
    </row>
    <row r="695" spans="1:38" x14ac:dyDescent="0.2">
      <c r="A695" s="2" t="str">
        <f>HYPERLINK("https://www.compass.com/listing/54-greene-street-unit-4a-manhattan-ny-10013/29362479570118865/","54 Greene St, Unit 4A")</f>
        <v>54 Greene St, Unit 4A</v>
      </c>
      <c r="B695" s="2" t="str">
        <f t="shared" si="108"/>
        <v>54 Greene St</v>
      </c>
      <c r="C695" s="1" t="s">
        <v>50</v>
      </c>
      <c r="D695" s="1" t="s">
        <v>41</v>
      </c>
      <c r="E695" s="3">
        <v>2909344</v>
      </c>
      <c r="F695" s="1">
        <v>1682.6743782533199</v>
      </c>
      <c r="G695" s="1">
        <v>4</v>
      </c>
      <c r="H695" s="1">
        <v>1</v>
      </c>
      <c r="I695" s="1">
        <v>2</v>
      </c>
      <c r="J695" s="1">
        <v>2</v>
      </c>
      <c r="M695" s="4">
        <v>1729</v>
      </c>
      <c r="N695" s="1">
        <v>617</v>
      </c>
      <c r="O695" s="1">
        <v>1433</v>
      </c>
      <c r="Q695" s="1" t="s">
        <v>580</v>
      </c>
      <c r="S695" s="1" t="s">
        <v>580</v>
      </c>
      <c r="T695" s="1" t="s">
        <v>153</v>
      </c>
      <c r="U695" s="1">
        <v>23</v>
      </c>
      <c r="V695" s="5">
        <v>43668</v>
      </c>
      <c r="W695" s="5">
        <v>42679</v>
      </c>
      <c r="X695" s="1">
        <v>2883035</v>
      </c>
      <c r="Y695" s="1">
        <v>2883035</v>
      </c>
      <c r="Z695" s="5">
        <v>42702</v>
      </c>
      <c r="AA695" s="1">
        <v>2909344</v>
      </c>
      <c r="AB695" s="1" t="s">
        <v>582</v>
      </c>
      <c r="AC695" s="5">
        <v>42914</v>
      </c>
      <c r="AF695" s="1">
        <v>10013</v>
      </c>
      <c r="AI695" s="1" t="s">
        <v>145</v>
      </c>
      <c r="AJ695" s="1">
        <v>1910</v>
      </c>
      <c r="AL695" s="1">
        <v>5</v>
      </c>
    </row>
    <row r="696" spans="1:38" x14ac:dyDescent="0.2">
      <c r="A696" s="2" t="str">
        <f>HYPERLINK("https://www.compass.com/listing/10-madison-square-west-unit-12a-manhattan-ny-10010/167813894088224353/","10 Madison Sq W, Unit 12A")</f>
        <v>10 Madison Sq W, Unit 12A</v>
      </c>
      <c r="B696" s="2" t="str">
        <f t="shared" ref="B696:B715" si="109">HYPERLINK("https://www.compass.com/building/10-madison-square-west-manhattan-ny/294838725091521285/","10 Madison Square West")</f>
        <v>10 Madison Square West</v>
      </c>
      <c r="C696" s="1" t="s">
        <v>56</v>
      </c>
      <c r="D696" s="1" t="s">
        <v>41</v>
      </c>
      <c r="E696" s="3">
        <v>5600375</v>
      </c>
      <c r="F696" s="1">
        <v>2539.8526077097499</v>
      </c>
      <c r="H696" s="1">
        <v>3</v>
      </c>
      <c r="J696" s="1">
        <v>3.5</v>
      </c>
      <c r="M696" s="4">
        <v>2205</v>
      </c>
      <c r="N696" s="1">
        <v>2762</v>
      </c>
      <c r="O696" s="1">
        <v>5023</v>
      </c>
      <c r="P696" s="1">
        <v>2261</v>
      </c>
      <c r="Q696" s="1" t="s">
        <v>42</v>
      </c>
      <c r="S696" s="1" t="s">
        <v>42</v>
      </c>
      <c r="T696" s="1" t="s">
        <v>153</v>
      </c>
      <c r="AA696" s="1">
        <v>5600375</v>
      </c>
      <c r="AB696" s="1" t="s">
        <v>583</v>
      </c>
      <c r="AC696" s="5">
        <v>42510</v>
      </c>
      <c r="AF696" s="1">
        <v>10010</v>
      </c>
      <c r="AI696" s="1" t="s">
        <v>45</v>
      </c>
      <c r="AJ696" s="1">
        <v>1915</v>
      </c>
      <c r="AK696" s="1" t="s">
        <v>49</v>
      </c>
      <c r="AL696" s="1">
        <v>125</v>
      </c>
    </row>
    <row r="697" spans="1:38" x14ac:dyDescent="0.2">
      <c r="A697" s="2" t="str">
        <f>HYPERLINK("https://www.compass.com/listing/10-madison-square-west-unit-2b-manhattan-ny-10010/29374710949211585/","10 Madison Sq W, Unit 2B")</f>
        <v>10 Madison Sq W, Unit 2B</v>
      </c>
      <c r="B697" s="2" t="str">
        <f t="shared" si="109"/>
        <v>10 Madison Square West</v>
      </c>
      <c r="C697" s="1" t="s">
        <v>56</v>
      </c>
      <c r="D697" s="1" t="s">
        <v>41</v>
      </c>
      <c r="E697" s="3">
        <v>4888513</v>
      </c>
      <c r="F697" s="1">
        <v>2418.8582384957899</v>
      </c>
      <c r="H697" s="1">
        <v>3</v>
      </c>
      <c r="J697" s="1">
        <v>3.5</v>
      </c>
      <c r="M697" s="4">
        <v>2021</v>
      </c>
      <c r="N697" s="1">
        <v>2588</v>
      </c>
      <c r="O697" s="1">
        <v>2588</v>
      </c>
      <c r="Q697" s="1" t="s">
        <v>42</v>
      </c>
      <c r="S697" s="1" t="s">
        <v>42</v>
      </c>
      <c r="T697" s="1" t="s">
        <v>153</v>
      </c>
      <c r="AA697" s="1">
        <v>4888512.5</v>
      </c>
      <c r="AB697" s="1" t="s">
        <v>584</v>
      </c>
      <c r="AC697" s="5">
        <v>42767</v>
      </c>
      <c r="AF697" s="1">
        <v>10010</v>
      </c>
      <c r="AI697" s="1" t="s">
        <v>45</v>
      </c>
      <c r="AJ697" s="1">
        <v>1915</v>
      </c>
      <c r="AK697" s="1" t="s">
        <v>49</v>
      </c>
      <c r="AL697" s="1">
        <v>125</v>
      </c>
    </row>
    <row r="698" spans="1:38" x14ac:dyDescent="0.2">
      <c r="A698" s="2" t="str">
        <f>HYPERLINK("https://www.compass.com/listing/10-madison-square-west-unit-2g-manhattan-ny-10010/29374713675452881/","10 Madison Sq W, Unit 2G")</f>
        <v>10 Madison Sq W, Unit 2G</v>
      </c>
      <c r="B698" s="2" t="str">
        <f t="shared" si="109"/>
        <v>10 Madison Square West</v>
      </c>
      <c r="C698" s="1" t="s">
        <v>56</v>
      </c>
      <c r="D698" s="1" t="s">
        <v>41</v>
      </c>
      <c r="E698" s="3">
        <v>5600375</v>
      </c>
      <c r="F698" s="1">
        <v>2368.0232558139501</v>
      </c>
      <c r="H698" s="1">
        <v>3</v>
      </c>
      <c r="J698" s="1">
        <v>3.5</v>
      </c>
      <c r="M698" s="4">
        <v>2365</v>
      </c>
      <c r="N698" s="1">
        <v>3026</v>
      </c>
      <c r="O698" s="1">
        <v>7176</v>
      </c>
      <c r="P698" s="1">
        <v>4150</v>
      </c>
      <c r="Q698" s="1" t="s">
        <v>42</v>
      </c>
      <c r="S698" s="1" t="s">
        <v>42</v>
      </c>
      <c r="T698" s="1" t="s">
        <v>153</v>
      </c>
      <c r="AA698" s="1">
        <v>5600375</v>
      </c>
      <c r="AB698" s="1" t="s">
        <v>585</v>
      </c>
      <c r="AC698" s="5">
        <v>42901</v>
      </c>
      <c r="AF698" s="1">
        <v>10010</v>
      </c>
      <c r="AI698" s="1" t="s">
        <v>45</v>
      </c>
      <c r="AJ698" s="1">
        <v>1915</v>
      </c>
      <c r="AK698" s="1" t="s">
        <v>49</v>
      </c>
      <c r="AL698" s="1">
        <v>125</v>
      </c>
    </row>
    <row r="699" spans="1:38" x14ac:dyDescent="0.2">
      <c r="A699" s="2" t="str">
        <f>HYPERLINK("https://www.compass.com/listing/10-madison-square-west-unit-3b-manhattan-ny-10010/29374714380152353/","10 Madison Sq W, Unit 3B")</f>
        <v>10 Madison Sq W, Unit 3B</v>
      </c>
      <c r="B699" s="2" t="str">
        <f t="shared" si="109"/>
        <v>10 Madison Square West</v>
      </c>
      <c r="C699" s="1" t="s">
        <v>56</v>
      </c>
      <c r="D699" s="1" t="s">
        <v>41</v>
      </c>
      <c r="E699" s="3">
        <v>4938513</v>
      </c>
      <c r="F699" s="1">
        <v>2443.5984661058801</v>
      </c>
      <c r="H699" s="1">
        <v>3</v>
      </c>
      <c r="J699" s="1">
        <v>3.5</v>
      </c>
      <c r="K699" s="1">
        <v>3</v>
      </c>
      <c r="L699" s="1">
        <v>1</v>
      </c>
      <c r="M699" s="4">
        <v>2021</v>
      </c>
      <c r="N699" s="1">
        <v>2589</v>
      </c>
      <c r="O699" s="1">
        <v>6797</v>
      </c>
      <c r="P699" s="1">
        <v>4208</v>
      </c>
      <c r="Q699" s="1" t="s">
        <v>42</v>
      </c>
      <c r="S699" s="1" t="s">
        <v>42</v>
      </c>
      <c r="T699" s="1" t="s">
        <v>153</v>
      </c>
      <c r="AA699" s="1">
        <v>4938512.5</v>
      </c>
      <c r="AB699" s="1" t="s">
        <v>586</v>
      </c>
      <c r="AC699" s="5">
        <v>42738</v>
      </c>
      <c r="AF699" s="1">
        <v>10010</v>
      </c>
      <c r="AI699" s="1" t="s">
        <v>45</v>
      </c>
      <c r="AJ699" s="1">
        <v>1915</v>
      </c>
      <c r="AK699" s="1" t="s">
        <v>49</v>
      </c>
      <c r="AL699" s="1">
        <v>125</v>
      </c>
    </row>
    <row r="700" spans="1:38" x14ac:dyDescent="0.2">
      <c r="A700" s="2" t="str">
        <f>HYPERLINK("https://www.compass.com/listing/10-madison-square-west-unit-3f-manhattan-ny-10010/29374715764216321/","10 Madison Sq W, Unit 3F")</f>
        <v>10 Madison Sq W, Unit 3F</v>
      </c>
      <c r="B700" s="2" t="str">
        <f t="shared" si="109"/>
        <v>10 Madison Square West</v>
      </c>
      <c r="C700" s="1" t="s">
        <v>56</v>
      </c>
      <c r="D700" s="1" t="s">
        <v>41</v>
      </c>
      <c r="E700" s="3">
        <v>7127750</v>
      </c>
      <c r="F700" s="1">
        <v>2981.0748640736001</v>
      </c>
      <c r="H700" s="1">
        <v>3</v>
      </c>
      <c r="J700" s="1">
        <v>3.5</v>
      </c>
      <c r="K700" s="1">
        <v>3</v>
      </c>
      <c r="L700" s="1">
        <v>1</v>
      </c>
      <c r="M700" s="4">
        <v>2391</v>
      </c>
      <c r="N700" s="1">
        <v>3003.43</v>
      </c>
      <c r="O700" s="1">
        <v>5063.78</v>
      </c>
      <c r="P700" s="1">
        <v>2060.3333333333298</v>
      </c>
      <c r="Q700" s="1" t="s">
        <v>42</v>
      </c>
      <c r="S700" s="1" t="s">
        <v>42</v>
      </c>
      <c r="T700" s="1" t="s">
        <v>153</v>
      </c>
      <c r="AA700" s="1">
        <v>7127750</v>
      </c>
      <c r="AB700" s="1" t="s">
        <v>587</v>
      </c>
      <c r="AC700" s="5">
        <v>42741</v>
      </c>
      <c r="AF700" s="1">
        <v>10010</v>
      </c>
      <c r="AI700" s="1" t="s">
        <v>45</v>
      </c>
      <c r="AJ700" s="1">
        <v>1915</v>
      </c>
      <c r="AK700" s="1" t="s">
        <v>49</v>
      </c>
      <c r="AL700" s="1">
        <v>125</v>
      </c>
    </row>
    <row r="701" spans="1:38" x14ac:dyDescent="0.2">
      <c r="A701" s="2" t="str">
        <f>HYPERLINK("https://www.compass.com/listing/10-madison-square-west-unit-4f-manhattan-ny-10010/29374717995641265/","10 Madison Sq W, Unit 4F")</f>
        <v>10 Madison Sq W, Unit 4F</v>
      </c>
      <c r="B701" s="2" t="str">
        <f t="shared" si="109"/>
        <v>10 Madison Square West</v>
      </c>
      <c r="C701" s="1" t="s">
        <v>56</v>
      </c>
      <c r="D701" s="1" t="s">
        <v>41</v>
      </c>
      <c r="E701" s="3">
        <v>7521875</v>
      </c>
      <c r="F701" s="1">
        <v>3145.9117524048502</v>
      </c>
      <c r="H701" s="1">
        <v>3</v>
      </c>
      <c r="J701" s="1">
        <v>3.5</v>
      </c>
      <c r="M701" s="4">
        <v>2391</v>
      </c>
      <c r="N701" s="1">
        <v>3003</v>
      </c>
      <c r="O701" s="1">
        <v>7120</v>
      </c>
      <c r="P701" s="1">
        <v>4117</v>
      </c>
      <c r="Q701" s="1" t="s">
        <v>42</v>
      </c>
      <c r="S701" s="1" t="s">
        <v>42</v>
      </c>
      <c r="T701" s="1" t="s">
        <v>153</v>
      </c>
      <c r="AA701" s="1">
        <v>7521875</v>
      </c>
      <c r="AB701" s="1" t="s">
        <v>588</v>
      </c>
      <c r="AC701" s="5">
        <v>42639</v>
      </c>
      <c r="AF701" s="1">
        <v>10010</v>
      </c>
      <c r="AI701" s="1" t="s">
        <v>45</v>
      </c>
      <c r="AJ701" s="1">
        <v>1915</v>
      </c>
      <c r="AK701" s="1" t="s">
        <v>49</v>
      </c>
      <c r="AL701" s="1">
        <v>125</v>
      </c>
    </row>
    <row r="702" spans="1:38" x14ac:dyDescent="0.2">
      <c r="A702" s="2" t="str">
        <f>HYPERLINK("https://www.compass.com/listing/10-madison-square-west-unit-4g-manhattan-ny-10010/29374718473793137/","10 Madison Sq W, Unit 4G")</f>
        <v>10 Madison Sq W, Unit 4G</v>
      </c>
      <c r="B702" s="2" t="str">
        <f t="shared" si="109"/>
        <v>10 Madison Square West</v>
      </c>
      <c r="C702" s="1" t="s">
        <v>56</v>
      </c>
      <c r="D702" s="1" t="s">
        <v>41</v>
      </c>
      <c r="E702" s="3">
        <v>5702200</v>
      </c>
      <c r="F702" s="1">
        <v>2422.3449447748499</v>
      </c>
      <c r="H702" s="1">
        <v>3</v>
      </c>
      <c r="J702" s="1">
        <v>3.5</v>
      </c>
      <c r="K702" s="1">
        <v>3</v>
      </c>
      <c r="L702" s="1">
        <v>1</v>
      </c>
      <c r="M702" s="4">
        <v>2354</v>
      </c>
      <c r="N702" s="1">
        <v>2957</v>
      </c>
      <c r="O702" s="1">
        <v>7277</v>
      </c>
      <c r="P702" s="1">
        <v>4320</v>
      </c>
      <c r="Q702" s="1" t="s">
        <v>42</v>
      </c>
      <c r="S702" s="1" t="s">
        <v>42</v>
      </c>
      <c r="T702" s="1" t="s">
        <v>153</v>
      </c>
      <c r="AA702" s="1">
        <v>5702200</v>
      </c>
      <c r="AB702" s="1" t="s">
        <v>589</v>
      </c>
      <c r="AC702" s="5">
        <v>42657</v>
      </c>
      <c r="AF702" s="1">
        <v>10010</v>
      </c>
      <c r="AI702" s="1" t="s">
        <v>45</v>
      </c>
      <c r="AJ702" s="1">
        <v>1915</v>
      </c>
      <c r="AK702" s="1" t="s">
        <v>49</v>
      </c>
      <c r="AL702" s="1">
        <v>125</v>
      </c>
    </row>
    <row r="703" spans="1:38" x14ac:dyDescent="0.2">
      <c r="A703" s="2" t="str">
        <f>HYPERLINK("https://www.compass.com/listing/10-madison-square-west-unit-5e-manhattan-ny-10010/29374721468525073/","10 Madison Sq W, Unit 5E")</f>
        <v>10 Madison Sq W, Unit 5E</v>
      </c>
      <c r="B703" s="2" t="str">
        <f t="shared" si="109"/>
        <v>10 Madison Square West</v>
      </c>
      <c r="C703" s="1" t="s">
        <v>56</v>
      </c>
      <c r="D703" s="1" t="s">
        <v>41</v>
      </c>
      <c r="E703" s="3">
        <v>8655125</v>
      </c>
      <c r="F703" s="1">
        <v>3014.6725879484502</v>
      </c>
      <c r="H703" s="1">
        <v>3</v>
      </c>
      <c r="J703" s="1">
        <v>3.5</v>
      </c>
      <c r="M703" s="4">
        <v>2871</v>
      </c>
      <c r="N703" s="1">
        <v>3611</v>
      </c>
      <c r="O703" s="1">
        <v>9174</v>
      </c>
      <c r="P703" s="1">
        <v>5563</v>
      </c>
      <c r="Q703" s="1" t="s">
        <v>42</v>
      </c>
      <c r="S703" s="1" t="s">
        <v>42</v>
      </c>
      <c r="T703" s="1" t="s">
        <v>153</v>
      </c>
      <c r="AA703" s="1">
        <v>8655125</v>
      </c>
      <c r="AB703" s="1" t="s">
        <v>590</v>
      </c>
      <c r="AC703" s="5">
        <v>42452</v>
      </c>
      <c r="AF703" s="1">
        <v>10010</v>
      </c>
      <c r="AI703" s="1" t="s">
        <v>45</v>
      </c>
      <c r="AJ703" s="1">
        <v>1915</v>
      </c>
      <c r="AK703" s="1" t="s">
        <v>49</v>
      </c>
      <c r="AL703" s="1">
        <v>125</v>
      </c>
    </row>
    <row r="704" spans="1:38" x14ac:dyDescent="0.2">
      <c r="A704" s="2" t="str">
        <f>HYPERLINK("https://www.compass.com/listing/10-madison-square-west-unit-5g-manhattan-ny-10010/29374722525489713/","10 Madison Sq W, Unit 5G")</f>
        <v>10 Madison Sq W, Unit 5G</v>
      </c>
      <c r="B704" s="2" t="str">
        <f t="shared" si="109"/>
        <v>10 Madison Square West</v>
      </c>
      <c r="C704" s="1" t="s">
        <v>56</v>
      </c>
      <c r="D704" s="1" t="s">
        <v>41</v>
      </c>
      <c r="E704" s="3">
        <v>5854938</v>
      </c>
      <c r="F704" s="1">
        <v>2487.22918436703</v>
      </c>
      <c r="H704" s="1">
        <v>3</v>
      </c>
      <c r="J704" s="1">
        <v>3.5</v>
      </c>
      <c r="K704" s="1">
        <v>3</v>
      </c>
      <c r="L704" s="1">
        <v>1</v>
      </c>
      <c r="M704" s="4">
        <v>2354</v>
      </c>
      <c r="N704" s="1">
        <v>2957</v>
      </c>
      <c r="O704" s="1">
        <v>7011</v>
      </c>
      <c r="P704" s="1">
        <v>4054</v>
      </c>
      <c r="Q704" s="1" t="s">
        <v>42</v>
      </c>
      <c r="S704" s="1" t="s">
        <v>42</v>
      </c>
      <c r="T704" s="1" t="s">
        <v>153</v>
      </c>
      <c r="AA704" s="1">
        <v>5854937.5</v>
      </c>
      <c r="AB704" s="1" t="s">
        <v>591</v>
      </c>
      <c r="AC704" s="5">
        <v>42402</v>
      </c>
      <c r="AF704" s="1">
        <v>10010</v>
      </c>
      <c r="AI704" s="1" t="s">
        <v>45</v>
      </c>
      <c r="AJ704" s="1">
        <v>1915</v>
      </c>
      <c r="AK704" s="1" t="s">
        <v>49</v>
      </c>
      <c r="AL704" s="1">
        <v>125</v>
      </c>
    </row>
    <row r="705" spans="1:38" x14ac:dyDescent="0.2">
      <c r="A705" s="2" t="str">
        <f>HYPERLINK("https://www.compass.com/listing/10-madison-square-west-unit-7e-manhattan-ny-10010/29374727701205761/","10 Madison Sq W, Unit 7E")</f>
        <v>10 Madison Sq W, Unit 7E</v>
      </c>
      <c r="B705" s="2" t="str">
        <f t="shared" si="109"/>
        <v>10 Madison Square West</v>
      </c>
      <c r="C705" s="1" t="s">
        <v>56</v>
      </c>
      <c r="D705" s="1" t="s">
        <v>41</v>
      </c>
      <c r="E705" s="3">
        <v>8807863</v>
      </c>
      <c r="F705" s="1">
        <v>3067.8726924416501</v>
      </c>
      <c r="H705" s="1">
        <v>3</v>
      </c>
      <c r="J705" s="1">
        <v>3.5</v>
      </c>
      <c r="K705" s="1">
        <v>3</v>
      </c>
      <c r="L705" s="1">
        <v>1</v>
      </c>
      <c r="M705" s="4">
        <v>2871</v>
      </c>
      <c r="N705" s="1">
        <v>3606</v>
      </c>
      <c r="O705" s="1">
        <v>9586</v>
      </c>
      <c r="P705" s="1">
        <v>5980</v>
      </c>
      <c r="Q705" s="1" t="s">
        <v>42</v>
      </c>
      <c r="S705" s="1" t="s">
        <v>42</v>
      </c>
      <c r="T705" s="1" t="s">
        <v>153</v>
      </c>
      <c r="AA705" s="1">
        <v>8807862.5</v>
      </c>
      <c r="AB705" s="1" t="s">
        <v>592</v>
      </c>
      <c r="AC705" s="5">
        <v>42438</v>
      </c>
      <c r="AF705" s="1">
        <v>10010</v>
      </c>
      <c r="AI705" s="1" t="s">
        <v>45</v>
      </c>
      <c r="AJ705" s="1">
        <v>1915</v>
      </c>
      <c r="AK705" s="1" t="s">
        <v>49</v>
      </c>
      <c r="AL705" s="1">
        <v>125</v>
      </c>
    </row>
    <row r="706" spans="1:38" x14ac:dyDescent="0.2">
      <c r="A706" s="2" t="str">
        <f>HYPERLINK("https://www.compass.com/listing/10-madison-square-west-unit-8f-manhattan-ny-10010/29374730394005345/","10 Madison Sq W, Unit 8F")</f>
        <v>10 Madison Sq W, Unit 8F</v>
      </c>
      <c r="B706" s="2" t="str">
        <f t="shared" si="109"/>
        <v>10 Madison Square West</v>
      </c>
      <c r="C706" s="1" t="s">
        <v>56</v>
      </c>
      <c r="D706" s="1" t="s">
        <v>41</v>
      </c>
      <c r="E706" s="3">
        <v>8146000</v>
      </c>
      <c r="F706" s="1">
        <v>3406.9427017984099</v>
      </c>
      <c r="H706" s="1">
        <v>3</v>
      </c>
      <c r="J706" s="1">
        <v>3.5</v>
      </c>
      <c r="K706" s="1">
        <v>3</v>
      </c>
      <c r="L706" s="1">
        <v>1</v>
      </c>
      <c r="M706" s="4">
        <v>2391</v>
      </c>
      <c r="N706" s="1">
        <v>3003.43</v>
      </c>
      <c r="O706" s="1">
        <v>7983.3699999999899</v>
      </c>
      <c r="P706" s="1">
        <v>4979.9166666666597</v>
      </c>
      <c r="Q706" s="1" t="s">
        <v>42</v>
      </c>
      <c r="S706" s="1" t="s">
        <v>42</v>
      </c>
      <c r="T706" s="1" t="s">
        <v>153</v>
      </c>
      <c r="AA706" s="1">
        <v>8146000</v>
      </c>
      <c r="AB706" s="1" t="s">
        <v>593</v>
      </c>
      <c r="AC706" s="5">
        <v>42453</v>
      </c>
      <c r="AF706" s="1">
        <v>10010</v>
      </c>
      <c r="AI706" s="1" t="s">
        <v>45</v>
      </c>
      <c r="AJ706" s="1">
        <v>1915</v>
      </c>
      <c r="AK706" s="1" t="s">
        <v>49</v>
      </c>
      <c r="AL706" s="1">
        <v>125</v>
      </c>
    </row>
    <row r="707" spans="1:38" x14ac:dyDescent="0.2">
      <c r="A707" s="2" t="str">
        <f>HYPERLINK("https://www.compass.com/listing/10-madison-square-west-unit-11e-manhattan-ny-10010/29374736861565841/","10 Madison Sq W, Unit 11E")</f>
        <v>10 Madison Sq W, Unit 11E</v>
      </c>
      <c r="B707" s="2" t="str">
        <f t="shared" si="109"/>
        <v>10 Madison Square West</v>
      </c>
      <c r="C707" s="1" t="s">
        <v>56</v>
      </c>
      <c r="D707" s="1" t="s">
        <v>41</v>
      </c>
      <c r="E707" s="3">
        <v>7789613</v>
      </c>
      <c r="F707" s="1">
        <v>3318.9657008947502</v>
      </c>
      <c r="H707" s="1">
        <v>3</v>
      </c>
      <c r="J707" s="1">
        <v>3.5</v>
      </c>
      <c r="K707" s="1">
        <v>3</v>
      </c>
      <c r="L707" s="1">
        <v>1</v>
      </c>
      <c r="M707" s="4">
        <v>2347</v>
      </c>
      <c r="N707" s="1">
        <v>2948</v>
      </c>
      <c r="O707" s="1">
        <v>7848</v>
      </c>
      <c r="P707" s="1">
        <v>4900</v>
      </c>
      <c r="Q707" s="1" t="s">
        <v>42</v>
      </c>
      <c r="S707" s="1" t="s">
        <v>42</v>
      </c>
      <c r="T707" s="1" t="s">
        <v>153</v>
      </c>
      <c r="AA707" s="1">
        <v>7789612.5</v>
      </c>
      <c r="AB707" s="1" t="s">
        <v>594</v>
      </c>
      <c r="AC707" s="5">
        <v>42489</v>
      </c>
      <c r="AF707" s="1">
        <v>10010</v>
      </c>
      <c r="AI707" s="1" t="s">
        <v>45</v>
      </c>
      <c r="AJ707" s="1">
        <v>1915</v>
      </c>
      <c r="AK707" s="1" t="s">
        <v>49</v>
      </c>
      <c r="AL707" s="1">
        <v>125</v>
      </c>
    </row>
    <row r="708" spans="1:38" x14ac:dyDescent="0.2">
      <c r="A708" s="2" t="str">
        <f>HYPERLINK("https://www.compass.com/listing/10-madison-square-west-unit-14e-manhattan-ny-10010/29374742834310081/","10 Madison Sq W, Unit 14E")</f>
        <v>10 Madison Sq W, Unit 14E</v>
      </c>
      <c r="B708" s="2" t="str">
        <f t="shared" si="109"/>
        <v>10 Madison Square West</v>
      </c>
      <c r="C708" s="1" t="s">
        <v>56</v>
      </c>
      <c r="D708" s="1" t="s">
        <v>41</v>
      </c>
      <c r="E708" s="3">
        <v>8602588</v>
      </c>
      <c r="F708" s="1">
        <v>3665.3547081380402</v>
      </c>
      <c r="H708" s="1">
        <v>3</v>
      </c>
      <c r="J708" s="1">
        <v>3.5</v>
      </c>
      <c r="M708" s="4">
        <v>2347</v>
      </c>
      <c r="N708" s="1">
        <v>2948</v>
      </c>
      <c r="O708" s="1">
        <v>7518</v>
      </c>
      <c r="P708" s="1">
        <v>4570</v>
      </c>
      <c r="Q708" s="1" t="s">
        <v>42</v>
      </c>
      <c r="S708" s="1" t="s">
        <v>42</v>
      </c>
      <c r="T708" s="1" t="s">
        <v>153</v>
      </c>
      <c r="AA708" s="1">
        <v>8602587.5</v>
      </c>
      <c r="AB708" s="1" t="s">
        <v>595</v>
      </c>
      <c r="AC708" s="5">
        <v>42545</v>
      </c>
      <c r="AF708" s="1">
        <v>10010</v>
      </c>
      <c r="AI708" s="1" t="s">
        <v>45</v>
      </c>
      <c r="AJ708" s="1">
        <v>1915</v>
      </c>
      <c r="AK708" s="1" t="s">
        <v>49</v>
      </c>
      <c r="AL708" s="1">
        <v>125</v>
      </c>
    </row>
    <row r="709" spans="1:38" x14ac:dyDescent="0.2">
      <c r="A709" s="2" t="str">
        <f>HYPERLINK("https://www.compass.com/listing/10-madison-square-west-unit-15a-manhattan-ny-10010/29374744201653201/","10 Madison Sq W, Unit 15A")</f>
        <v>10 Madison Sq W, Unit 15A</v>
      </c>
      <c r="B709" s="2" t="str">
        <f t="shared" si="109"/>
        <v>10 Madison Square West</v>
      </c>
      <c r="C709" s="1" t="s">
        <v>56</v>
      </c>
      <c r="D709" s="1" t="s">
        <v>41</v>
      </c>
      <c r="E709" s="3">
        <v>5091250</v>
      </c>
      <c r="F709" s="1">
        <v>2308.9569160997698</v>
      </c>
      <c r="H709" s="1">
        <v>3</v>
      </c>
      <c r="J709" s="1">
        <v>3.5</v>
      </c>
      <c r="K709" s="1">
        <v>3</v>
      </c>
      <c r="L709" s="1">
        <v>1</v>
      </c>
      <c r="M709" s="4">
        <v>2205</v>
      </c>
      <c r="N709" s="1">
        <v>2962</v>
      </c>
      <c r="O709" s="1">
        <v>7656</v>
      </c>
      <c r="P709" s="1">
        <v>4694</v>
      </c>
      <c r="Q709" s="1" t="s">
        <v>42</v>
      </c>
      <c r="S709" s="1" t="s">
        <v>42</v>
      </c>
      <c r="T709" s="1" t="s">
        <v>153</v>
      </c>
      <c r="AA709" s="1">
        <v>5091250</v>
      </c>
      <c r="AB709" s="1" t="s">
        <v>596</v>
      </c>
      <c r="AC709" s="5">
        <v>42466</v>
      </c>
      <c r="AF709" s="1">
        <v>10010</v>
      </c>
      <c r="AI709" s="1" t="s">
        <v>45</v>
      </c>
      <c r="AJ709" s="1">
        <v>1915</v>
      </c>
      <c r="AK709" s="1" t="s">
        <v>49</v>
      </c>
      <c r="AL709" s="1">
        <v>125</v>
      </c>
    </row>
    <row r="710" spans="1:38" x14ac:dyDescent="0.2">
      <c r="A710" s="2" t="str">
        <f>HYPERLINK("https://www.compass.com/listing/10-madison-square-west-unit-15e-manhattan-ny-10010/29374746021925985/","10 Madison Sq W, Unit 15E")</f>
        <v>10 Madison Sq W, Unit 15E</v>
      </c>
      <c r="B710" s="2" t="str">
        <f t="shared" si="109"/>
        <v>10 Madison Square West</v>
      </c>
      <c r="C710" s="1" t="s">
        <v>56</v>
      </c>
      <c r="D710" s="1" t="s">
        <v>41</v>
      </c>
      <c r="E710" s="3">
        <v>9316988</v>
      </c>
      <c r="F710" s="1">
        <v>3969.7432893054902</v>
      </c>
      <c r="H710" s="1">
        <v>3</v>
      </c>
      <c r="J710" s="1">
        <v>3.5</v>
      </c>
      <c r="M710" s="4">
        <v>2347</v>
      </c>
      <c r="N710" s="1">
        <v>2948.16</v>
      </c>
      <c r="O710" s="1">
        <v>6989.91</v>
      </c>
      <c r="P710" s="1">
        <v>4041.75</v>
      </c>
      <c r="Q710" s="1" t="s">
        <v>42</v>
      </c>
      <c r="S710" s="1" t="s">
        <v>42</v>
      </c>
      <c r="T710" s="1" t="s">
        <v>153</v>
      </c>
      <c r="AA710" s="1">
        <v>9316987.5</v>
      </c>
      <c r="AB710" s="1" t="s">
        <v>597</v>
      </c>
      <c r="AC710" s="5">
        <v>42544</v>
      </c>
      <c r="AF710" s="1">
        <v>10010</v>
      </c>
      <c r="AI710" s="1" t="s">
        <v>45</v>
      </c>
      <c r="AJ710" s="1">
        <v>1915</v>
      </c>
      <c r="AK710" s="1" t="s">
        <v>49</v>
      </c>
      <c r="AL710" s="1">
        <v>125</v>
      </c>
    </row>
    <row r="711" spans="1:38" x14ac:dyDescent="0.2">
      <c r="A711" s="2" t="str">
        <f>HYPERLINK("https://www.compass.com/listing/10-madison-square-west-unit-19c-manhattan-ny-10010/29374752648981617/","10 Madison Sq W, Unit 19C")</f>
        <v>10 Madison Sq W, Unit 19C</v>
      </c>
      <c r="B711" s="2" t="str">
        <f t="shared" si="109"/>
        <v>10 Madison Square West</v>
      </c>
      <c r="C711" s="1" t="s">
        <v>56</v>
      </c>
      <c r="D711" s="1" t="s">
        <v>41</v>
      </c>
      <c r="E711" s="3">
        <v>11709875</v>
      </c>
      <c r="F711" s="1">
        <v>4633.9038385437198</v>
      </c>
      <c r="H711" s="1">
        <v>3</v>
      </c>
      <c r="J711" s="1">
        <v>3.5</v>
      </c>
      <c r="K711" s="1">
        <v>3</v>
      </c>
      <c r="L711" s="1">
        <v>1</v>
      </c>
      <c r="M711" s="4">
        <v>2527</v>
      </c>
      <c r="N711" s="1">
        <v>3175</v>
      </c>
      <c r="O711" s="1">
        <v>8178</v>
      </c>
      <c r="P711" s="1">
        <v>5003</v>
      </c>
      <c r="Q711" s="1" t="s">
        <v>42</v>
      </c>
      <c r="S711" s="1" t="s">
        <v>42</v>
      </c>
      <c r="T711" s="1" t="s">
        <v>153</v>
      </c>
      <c r="AA711" s="1">
        <v>11709875</v>
      </c>
      <c r="AB711" s="1" t="s">
        <v>598</v>
      </c>
      <c r="AC711" s="5">
        <v>42839</v>
      </c>
      <c r="AF711" s="1">
        <v>10010</v>
      </c>
      <c r="AI711" s="1" t="s">
        <v>45</v>
      </c>
      <c r="AJ711" s="1">
        <v>1915</v>
      </c>
      <c r="AK711" s="1" t="s">
        <v>49</v>
      </c>
      <c r="AL711" s="1">
        <v>125</v>
      </c>
    </row>
    <row r="712" spans="1:38" x14ac:dyDescent="0.2">
      <c r="A712" s="2" t="str">
        <f>HYPERLINK("https://www.compass.com/listing/10-madison-square-west-unit-5b-manhattan-ny-10010/29457349525757841/","10 Madison Sq W, Unit 5B")</f>
        <v>10 Madison Sq W, Unit 5B</v>
      </c>
      <c r="B712" s="2" t="str">
        <f t="shared" si="109"/>
        <v>10 Madison Square West</v>
      </c>
      <c r="C712" s="1" t="s">
        <v>56</v>
      </c>
      <c r="D712" s="1" t="s">
        <v>41</v>
      </c>
      <c r="E712" s="3">
        <v>5040338</v>
      </c>
      <c r="F712" s="1">
        <v>2493.9819396338398</v>
      </c>
      <c r="H712" s="1">
        <v>3</v>
      </c>
      <c r="J712" s="1">
        <v>3.5</v>
      </c>
      <c r="K712" s="1">
        <v>3</v>
      </c>
      <c r="L712" s="1">
        <v>1</v>
      </c>
      <c r="M712" s="4">
        <v>2021</v>
      </c>
      <c r="N712" s="1">
        <v>2539</v>
      </c>
      <c r="O712" s="1">
        <v>6455</v>
      </c>
      <c r="P712" s="1">
        <v>3916</v>
      </c>
      <c r="Q712" s="1" t="s">
        <v>42</v>
      </c>
      <c r="S712" s="1" t="s">
        <v>42</v>
      </c>
      <c r="T712" s="1" t="s">
        <v>153</v>
      </c>
      <c r="AA712" s="1">
        <v>5040337.5</v>
      </c>
      <c r="AB712" s="1" t="s">
        <v>599</v>
      </c>
      <c r="AC712" s="5">
        <v>42402</v>
      </c>
      <c r="AF712" s="1">
        <v>10010</v>
      </c>
      <c r="AI712" s="1" t="s">
        <v>45</v>
      </c>
      <c r="AJ712" s="1">
        <v>1915</v>
      </c>
      <c r="AK712" s="1" t="s">
        <v>49</v>
      </c>
      <c r="AL712" s="1">
        <v>125</v>
      </c>
    </row>
    <row r="713" spans="1:38" x14ac:dyDescent="0.2">
      <c r="A713" s="2" t="str">
        <f>HYPERLINK("https://www.compass.com/listing/10-madison-square-west-unit-7b-manhattan-ny-10010/528128665010692289/","10 Madison Sq W, Unit 7B")</f>
        <v>10 Madison Sq W, Unit 7B</v>
      </c>
      <c r="B713" s="2" t="str">
        <f t="shared" si="109"/>
        <v>10 Madison Square West</v>
      </c>
      <c r="C713" s="1" t="s">
        <v>56</v>
      </c>
      <c r="D713" s="1" t="s">
        <v>41</v>
      </c>
      <c r="E713" s="3">
        <v>5193075</v>
      </c>
      <c r="F713" s="1">
        <v>2569.5571499257699</v>
      </c>
      <c r="H713" s="1">
        <v>3</v>
      </c>
      <c r="J713" s="1">
        <v>3.5</v>
      </c>
      <c r="M713" s="4">
        <v>2021</v>
      </c>
      <c r="N713" s="1">
        <v>2532</v>
      </c>
      <c r="O713" s="1">
        <v>2532</v>
      </c>
      <c r="Q713" s="1" t="s">
        <v>42</v>
      </c>
      <c r="S713" s="1" t="s">
        <v>42</v>
      </c>
      <c r="T713" s="1" t="s">
        <v>153</v>
      </c>
      <c r="AA713" s="1">
        <v>5193075</v>
      </c>
      <c r="AB713" s="1" t="s">
        <v>600</v>
      </c>
      <c r="AC713" s="5">
        <v>42388</v>
      </c>
      <c r="AF713" s="1">
        <v>10010</v>
      </c>
      <c r="AI713" s="1" t="s">
        <v>45</v>
      </c>
      <c r="AJ713" s="1">
        <v>1915</v>
      </c>
      <c r="AK713" s="1" t="s">
        <v>49</v>
      </c>
      <c r="AL713" s="1">
        <v>125</v>
      </c>
    </row>
    <row r="714" spans="1:38" x14ac:dyDescent="0.2">
      <c r="A714" s="2" t="str">
        <f>HYPERLINK("https://www.compass.com/listing/10-madison-square-west-unit-8b-manhattan-ny-10010/567519128158988953/","10 Madison Sq W, Unit 8B")</f>
        <v>10 Madison Sq W, Unit 8B</v>
      </c>
      <c r="B714" s="2" t="str">
        <f t="shared" si="109"/>
        <v>10 Madison Square West</v>
      </c>
      <c r="C714" s="1" t="s">
        <v>56</v>
      </c>
      <c r="D714" s="1" t="s">
        <v>41</v>
      </c>
      <c r="E714" s="3">
        <v>5193075</v>
      </c>
      <c r="F714" s="1">
        <v>2569.5571499257699</v>
      </c>
      <c r="H714" s="1">
        <v>3</v>
      </c>
      <c r="J714" s="1">
        <v>3.5</v>
      </c>
      <c r="M714" s="4">
        <v>2021</v>
      </c>
      <c r="N714" s="1">
        <v>2532</v>
      </c>
      <c r="O714" s="1">
        <v>2532</v>
      </c>
      <c r="Q714" s="1" t="s">
        <v>42</v>
      </c>
      <c r="S714" s="1" t="s">
        <v>42</v>
      </c>
      <c r="T714" s="1" t="s">
        <v>153</v>
      </c>
      <c r="AA714" s="1">
        <v>5193075</v>
      </c>
      <c r="AB714" s="1" t="s">
        <v>601</v>
      </c>
      <c r="AC714" s="5">
        <v>42488</v>
      </c>
      <c r="AF714" s="1">
        <v>10010</v>
      </c>
      <c r="AI714" s="1" t="s">
        <v>45</v>
      </c>
      <c r="AJ714" s="1">
        <v>1915</v>
      </c>
      <c r="AK714" s="1" t="s">
        <v>49</v>
      </c>
      <c r="AL714" s="1">
        <v>125</v>
      </c>
    </row>
    <row r="715" spans="1:38" x14ac:dyDescent="0.2">
      <c r="A715" s="2" t="str">
        <f>HYPERLINK("https://www.compass.com/listing/10-madison-square-west-unit-2f-manhattan-ny-10010/79389245281722097/","10 Madison Sq W, Unit 2F")</f>
        <v>10 Madison Sq W, Unit 2F</v>
      </c>
      <c r="B715" s="2" t="str">
        <f t="shared" si="109"/>
        <v>10 Madison Square West</v>
      </c>
      <c r="C715" s="1" t="s">
        <v>56</v>
      </c>
      <c r="D715" s="1" t="s">
        <v>41</v>
      </c>
      <c r="E715" s="3">
        <v>7382313</v>
      </c>
      <c r="F715" s="1">
        <v>3087.5418235048</v>
      </c>
      <c r="H715" s="1">
        <v>3</v>
      </c>
      <c r="J715" s="1">
        <v>3.5</v>
      </c>
      <c r="K715" s="1">
        <v>3</v>
      </c>
      <c r="L715" s="1">
        <v>1</v>
      </c>
      <c r="M715" s="4">
        <v>2391</v>
      </c>
      <c r="N715" s="1">
        <v>3003.43</v>
      </c>
      <c r="O715" s="1">
        <v>7776.93</v>
      </c>
      <c r="P715" s="1">
        <v>4773.5</v>
      </c>
      <c r="Q715" s="1" t="s">
        <v>42</v>
      </c>
      <c r="S715" s="1" t="s">
        <v>42</v>
      </c>
      <c r="T715" s="1" t="s">
        <v>153</v>
      </c>
      <c r="AA715" s="1">
        <v>7382312.5</v>
      </c>
      <c r="AB715" s="1" t="s">
        <v>602</v>
      </c>
      <c r="AC715" s="5">
        <v>42885</v>
      </c>
      <c r="AF715" s="1">
        <v>10010</v>
      </c>
      <c r="AI715" s="1" t="s">
        <v>45</v>
      </c>
      <c r="AJ715" s="1">
        <v>1915</v>
      </c>
      <c r="AK715" s="1" t="s">
        <v>49</v>
      </c>
      <c r="AL715" s="1">
        <v>125</v>
      </c>
    </row>
    <row r="716" spans="1:38" x14ac:dyDescent="0.2">
      <c r="A716" s="2" t="str">
        <f>HYPERLINK("https://www.compass.com/listing/160-east-22nd-street-unit-10b-manhattan-ny-10010/167817265880763249/","160 E 22nd St, Unit 10B")</f>
        <v>160 E 22nd St, Unit 10B</v>
      </c>
      <c r="B716" s="2" t="str">
        <f>HYPERLINK("https://www.compass.com/building/160-e-22nd-st-manhattan-ny-10010/292796862321154661/","160 E 22nd St")</f>
        <v>160 E 22nd St</v>
      </c>
      <c r="C716" s="1" t="s">
        <v>54</v>
      </c>
      <c r="D716" s="1" t="s">
        <v>41</v>
      </c>
      <c r="E716" s="3">
        <v>1700467</v>
      </c>
      <c r="F716" s="1">
        <v>2355.2179501384999</v>
      </c>
      <c r="H716" s="1">
        <v>1</v>
      </c>
      <c r="J716" s="1">
        <v>1</v>
      </c>
      <c r="M716" s="1">
        <v>722</v>
      </c>
      <c r="N716" s="1">
        <v>689</v>
      </c>
      <c r="O716" s="1">
        <v>945</v>
      </c>
      <c r="P716" s="1">
        <v>256</v>
      </c>
      <c r="Q716" s="1" t="s">
        <v>42</v>
      </c>
      <c r="S716" s="1" t="s">
        <v>42</v>
      </c>
      <c r="T716" s="1" t="s">
        <v>153</v>
      </c>
      <c r="AA716" s="1">
        <v>1700467.36</v>
      </c>
      <c r="AB716" s="1" t="s">
        <v>603</v>
      </c>
      <c r="AC716" s="5">
        <v>41932</v>
      </c>
      <c r="AF716" s="1">
        <v>10010</v>
      </c>
      <c r="AI716" s="1" t="s">
        <v>55</v>
      </c>
      <c r="AJ716" s="1">
        <v>2012</v>
      </c>
      <c r="AK716" s="1" t="s">
        <v>49</v>
      </c>
      <c r="AL716" s="1">
        <v>81</v>
      </c>
    </row>
    <row r="717" spans="1:38" x14ac:dyDescent="0.2">
      <c r="A717" s="2" t="str">
        <f>HYPERLINK("https://www.compass.com/listing/54-greene-street-unit-2b-manhattan-ny-10013/29362477573630145/","54 Greene St, Unit 2B")</f>
        <v>54 Greene St, Unit 2B</v>
      </c>
      <c r="B717" s="2" t="str">
        <f>HYPERLINK("https://www.compass.com/building/54-greene-st-manhattan-ny-10013/292817693046776565/","54 Greene St")</f>
        <v>54 Greene St</v>
      </c>
      <c r="C717" s="1" t="s">
        <v>50</v>
      </c>
      <c r="D717" s="1" t="s">
        <v>41</v>
      </c>
      <c r="E717" s="3">
        <v>5254170</v>
      </c>
      <c r="F717" s="1">
        <v>2051.6087465833598</v>
      </c>
      <c r="G717" s="1">
        <v>5</v>
      </c>
      <c r="H717" s="1">
        <v>3</v>
      </c>
      <c r="I717" s="1">
        <v>3</v>
      </c>
      <c r="J717" s="1">
        <v>2.5</v>
      </c>
      <c r="M717" s="4">
        <v>2561</v>
      </c>
      <c r="N717" s="1">
        <v>987</v>
      </c>
      <c r="O717" s="1">
        <v>2293</v>
      </c>
      <c r="Q717" s="1" t="s">
        <v>580</v>
      </c>
      <c r="S717" s="1" t="s">
        <v>580</v>
      </c>
      <c r="T717" s="1" t="s">
        <v>153</v>
      </c>
      <c r="U717" s="1">
        <v>124</v>
      </c>
      <c r="V717" s="5">
        <v>43665</v>
      </c>
      <c r="W717" s="5">
        <v>42679</v>
      </c>
      <c r="X717" s="1">
        <v>5262350</v>
      </c>
      <c r="Y717" s="1">
        <v>5262350</v>
      </c>
      <c r="Z717" s="5">
        <v>42803</v>
      </c>
      <c r="AA717" s="1">
        <v>5254170</v>
      </c>
      <c r="AB717" s="1" t="s">
        <v>604</v>
      </c>
      <c r="AC717" s="5">
        <v>42915</v>
      </c>
      <c r="AF717" s="1">
        <v>10013</v>
      </c>
      <c r="AI717" s="1" t="s">
        <v>145</v>
      </c>
      <c r="AJ717" s="1">
        <v>1910</v>
      </c>
      <c r="AL717" s="1">
        <v>5</v>
      </c>
    </row>
    <row r="718" spans="1:38" x14ac:dyDescent="0.2">
      <c r="A718" s="2" t="str">
        <f>HYPERLINK("https://www.compass.com/listing/293-lafayette-street-unit-ph6-manhattan-ny-10012/803342581886434513/","293 Lafayette St, Unit PH6")</f>
        <v>293 Lafayette St, Unit PH6</v>
      </c>
      <c r="B718" s="2" t="str">
        <f>HYPERLINK("https://www.compass.com/building/puck-penthouses-manhattan-ny/292811307244096869/","Puck Penthouses")</f>
        <v>Puck Penthouses</v>
      </c>
      <c r="C718" s="1" t="s">
        <v>97</v>
      </c>
      <c r="D718" s="1" t="s">
        <v>41</v>
      </c>
      <c r="E718" s="3">
        <v>17821376</v>
      </c>
      <c r="F718" s="1">
        <v>3640.73054136874</v>
      </c>
      <c r="G718" s="1">
        <v>5</v>
      </c>
      <c r="H718" s="1">
        <v>3</v>
      </c>
      <c r="I718" s="1">
        <v>4</v>
      </c>
      <c r="J718" s="1">
        <v>4</v>
      </c>
      <c r="K718" s="1">
        <v>4</v>
      </c>
      <c r="M718" s="4">
        <v>4895</v>
      </c>
      <c r="N718" s="1">
        <v>7617</v>
      </c>
      <c r="O718" s="1">
        <v>12312</v>
      </c>
      <c r="P718" s="1">
        <v>4695</v>
      </c>
      <c r="Q718" s="1" t="s">
        <v>42</v>
      </c>
      <c r="S718" s="1" t="s">
        <v>42</v>
      </c>
      <c r="T718" s="1" t="s">
        <v>153</v>
      </c>
      <c r="U718" s="1">
        <v>62</v>
      </c>
      <c r="V718" s="5">
        <v>42557</v>
      </c>
      <c r="W718" s="5">
        <v>42388</v>
      </c>
      <c r="X718" s="1">
        <v>18500000</v>
      </c>
      <c r="Y718" s="1">
        <v>18500000</v>
      </c>
      <c r="Z718" s="5">
        <v>42451</v>
      </c>
      <c r="AA718" s="1">
        <v>17821376</v>
      </c>
      <c r="AB718" s="1" t="s">
        <v>177</v>
      </c>
      <c r="AC718" s="5">
        <v>42542</v>
      </c>
      <c r="AF718" s="1">
        <v>10012</v>
      </c>
      <c r="AI718" s="1" t="s">
        <v>66</v>
      </c>
      <c r="AJ718" s="1">
        <v>1885</v>
      </c>
      <c r="AK718" s="1" t="s">
        <v>46</v>
      </c>
      <c r="AL718" s="1">
        <v>6</v>
      </c>
    </row>
    <row r="719" spans="1:38" x14ac:dyDescent="0.2">
      <c r="A719" s="2" t="str">
        <f>HYPERLINK("https://www.compass.com/listing/160-east-22nd-street-unit-3a-manhattan-ny-10010/167817246192800929/","160 E 22nd St, Unit 3A")</f>
        <v>160 E 22nd St, Unit 3A</v>
      </c>
      <c r="B719" s="2" t="str">
        <f t="shared" ref="B719:B731" si="110">HYPERLINK("https://www.compass.com/building/160-e-22nd-st-manhattan-ny-10010/292796862321154661/","160 E 22nd St")</f>
        <v>160 E 22nd St</v>
      </c>
      <c r="C719" s="1" t="s">
        <v>54</v>
      </c>
      <c r="D719" s="1" t="s">
        <v>41</v>
      </c>
      <c r="E719" s="3">
        <v>1384810</v>
      </c>
      <c r="F719" s="1">
        <v>1634.9585123966899</v>
      </c>
      <c r="H719" s="1">
        <v>1</v>
      </c>
      <c r="J719" s="1">
        <v>1</v>
      </c>
      <c r="M719" s="1">
        <v>847</v>
      </c>
      <c r="N719" s="1">
        <v>802</v>
      </c>
      <c r="O719" s="1">
        <v>1100</v>
      </c>
      <c r="P719" s="1">
        <v>298</v>
      </c>
      <c r="Q719" s="1" t="s">
        <v>42</v>
      </c>
      <c r="S719" s="1" t="s">
        <v>42</v>
      </c>
      <c r="T719" s="1" t="s">
        <v>153</v>
      </c>
      <c r="AA719" s="1">
        <v>1384809.86</v>
      </c>
      <c r="AB719" s="1" t="s">
        <v>605</v>
      </c>
      <c r="AC719" s="5">
        <v>41887</v>
      </c>
      <c r="AF719" s="1">
        <v>10010</v>
      </c>
      <c r="AI719" s="1" t="s">
        <v>55</v>
      </c>
      <c r="AJ719" s="1">
        <v>2012</v>
      </c>
      <c r="AK719" s="1" t="s">
        <v>49</v>
      </c>
      <c r="AL719" s="1">
        <v>81</v>
      </c>
    </row>
    <row r="720" spans="1:38" x14ac:dyDescent="0.2">
      <c r="A720" s="2" t="str">
        <f>HYPERLINK("https://www.compass.com/listing/160-east-22nd-street-unit-7d-manhattan-ny-10010/167817257509033393/","160 E 22nd St, Unit 7D")</f>
        <v>160 E 22nd St, Unit 7D</v>
      </c>
      <c r="B720" s="2" t="str">
        <f t="shared" si="110"/>
        <v>160 E 22nd St</v>
      </c>
      <c r="C720" s="1" t="s">
        <v>54</v>
      </c>
      <c r="D720" s="1" t="s">
        <v>41</v>
      </c>
      <c r="E720" s="3">
        <v>1429613</v>
      </c>
      <c r="F720" s="1">
        <v>1911.2471390374301</v>
      </c>
      <c r="H720" s="1">
        <v>1</v>
      </c>
      <c r="J720" s="1">
        <v>1</v>
      </c>
      <c r="M720" s="1">
        <v>748</v>
      </c>
      <c r="N720" s="1">
        <v>711</v>
      </c>
      <c r="O720" s="1">
        <v>975</v>
      </c>
      <c r="P720" s="1">
        <v>264</v>
      </c>
      <c r="Q720" s="1" t="s">
        <v>42</v>
      </c>
      <c r="S720" s="1" t="s">
        <v>42</v>
      </c>
      <c r="T720" s="1" t="s">
        <v>153</v>
      </c>
      <c r="AA720" s="1">
        <v>1429612.86</v>
      </c>
      <c r="AB720" s="1" t="s">
        <v>606</v>
      </c>
      <c r="AC720" s="5">
        <v>41899</v>
      </c>
      <c r="AF720" s="1">
        <v>10010</v>
      </c>
      <c r="AI720" s="1" t="s">
        <v>55</v>
      </c>
      <c r="AJ720" s="1">
        <v>2012</v>
      </c>
      <c r="AK720" s="1" t="s">
        <v>49</v>
      </c>
      <c r="AL720" s="1">
        <v>81</v>
      </c>
    </row>
    <row r="721" spans="1:38" x14ac:dyDescent="0.2">
      <c r="A721" s="2" t="str">
        <f>HYPERLINK("https://www.compass.com/listing/160-east-22nd-street-unit-11d-manhattan-ny-10010/167817269798344433/","160 E 22nd St, Unit 11D")</f>
        <v>160 E 22nd St, Unit 11D</v>
      </c>
      <c r="B721" s="2" t="str">
        <f t="shared" si="110"/>
        <v>160 E 22nd St</v>
      </c>
      <c r="C721" s="1" t="s">
        <v>54</v>
      </c>
      <c r="D721" s="1" t="s">
        <v>41</v>
      </c>
      <c r="E721" s="3">
        <v>1553839</v>
      </c>
      <c r="F721" s="1">
        <v>1865.35337334933</v>
      </c>
      <c r="H721" s="1">
        <v>1</v>
      </c>
      <c r="J721" s="1">
        <v>1</v>
      </c>
      <c r="M721" s="1">
        <v>833</v>
      </c>
      <c r="N721" s="1">
        <v>795</v>
      </c>
      <c r="O721" s="1">
        <v>1091</v>
      </c>
      <c r="P721" s="1">
        <v>296</v>
      </c>
      <c r="Q721" s="1" t="s">
        <v>42</v>
      </c>
      <c r="S721" s="1" t="s">
        <v>42</v>
      </c>
      <c r="T721" s="1" t="s">
        <v>153</v>
      </c>
      <c r="AA721" s="1">
        <v>1553839.36</v>
      </c>
      <c r="AB721" s="1" t="s">
        <v>607</v>
      </c>
      <c r="AC721" s="5">
        <v>41926</v>
      </c>
      <c r="AF721" s="1">
        <v>10010</v>
      </c>
      <c r="AI721" s="1" t="s">
        <v>55</v>
      </c>
      <c r="AJ721" s="1">
        <v>2012</v>
      </c>
      <c r="AK721" s="1" t="s">
        <v>49</v>
      </c>
      <c r="AL721" s="1">
        <v>81</v>
      </c>
    </row>
    <row r="722" spans="1:38" x14ac:dyDescent="0.2">
      <c r="A722" s="2" t="str">
        <f>HYPERLINK("https://www.compass.com/listing/160-east-22nd-street-unit-8b-manhattan-ny-10010/29378183212074593/","160 E 22nd St, Unit 8B")</f>
        <v>160 E 22nd St, Unit 8B</v>
      </c>
      <c r="B722" s="2" t="str">
        <f t="shared" si="110"/>
        <v>160 E 22nd St</v>
      </c>
      <c r="C722" s="1" t="s">
        <v>54</v>
      </c>
      <c r="D722" s="1" t="s">
        <v>41</v>
      </c>
      <c r="E722" s="3">
        <v>1495799</v>
      </c>
      <c r="F722" s="1">
        <v>2071.74391966759</v>
      </c>
      <c r="H722" s="1">
        <v>1</v>
      </c>
      <c r="J722" s="1">
        <v>1</v>
      </c>
      <c r="M722" s="1">
        <v>722</v>
      </c>
      <c r="N722" s="1">
        <v>754</v>
      </c>
      <c r="O722" s="1">
        <v>1540</v>
      </c>
      <c r="P722" s="1">
        <v>786</v>
      </c>
      <c r="Q722" s="1" t="s">
        <v>42</v>
      </c>
      <c r="S722" s="1" t="s">
        <v>42</v>
      </c>
      <c r="T722" s="1" t="s">
        <v>153</v>
      </c>
      <c r="AA722" s="1">
        <v>1495799.11</v>
      </c>
      <c r="AB722" s="1" t="s">
        <v>608</v>
      </c>
      <c r="AC722" s="5">
        <v>41911</v>
      </c>
      <c r="AF722" s="1">
        <v>10010</v>
      </c>
      <c r="AI722" s="1" t="s">
        <v>55</v>
      </c>
      <c r="AJ722" s="1">
        <v>2012</v>
      </c>
      <c r="AK722" s="1" t="s">
        <v>49</v>
      </c>
      <c r="AL722" s="1">
        <v>81</v>
      </c>
    </row>
    <row r="723" spans="1:38" x14ac:dyDescent="0.2">
      <c r="A723" s="2" t="str">
        <f>HYPERLINK("https://www.compass.com/listing/160-east-22nd-street-unit-9b-manhattan-ny-10010/29378185334463073/","160 E 22nd St, Unit 9B")</f>
        <v>160 E 22nd St, Unit 9B</v>
      </c>
      <c r="B723" s="2" t="str">
        <f t="shared" si="110"/>
        <v>160 E 22nd St</v>
      </c>
      <c r="C723" s="1" t="s">
        <v>54</v>
      </c>
      <c r="D723" s="1" t="s">
        <v>41</v>
      </c>
      <c r="E723" s="3">
        <v>1215780</v>
      </c>
      <c r="F723" s="1">
        <v>1683.90631578947</v>
      </c>
      <c r="H723" s="1">
        <v>1</v>
      </c>
      <c r="J723" s="1">
        <v>1</v>
      </c>
      <c r="K723" s="1">
        <v>1</v>
      </c>
      <c r="M723" s="1">
        <v>722</v>
      </c>
      <c r="N723" s="1">
        <v>838</v>
      </c>
      <c r="O723" s="1">
        <v>1965</v>
      </c>
      <c r="P723" s="1">
        <v>1127</v>
      </c>
      <c r="Q723" s="1" t="s">
        <v>42</v>
      </c>
      <c r="S723" s="1" t="s">
        <v>42</v>
      </c>
      <c r="T723" s="1" t="s">
        <v>153</v>
      </c>
      <c r="AA723" s="1">
        <v>1215780.3600000001</v>
      </c>
      <c r="AB723" s="1" t="s">
        <v>609</v>
      </c>
      <c r="AC723" s="5">
        <v>41914</v>
      </c>
      <c r="AF723" s="1">
        <v>10010</v>
      </c>
      <c r="AI723" s="1" t="s">
        <v>55</v>
      </c>
      <c r="AJ723" s="1">
        <v>2012</v>
      </c>
      <c r="AK723" s="1" t="s">
        <v>49</v>
      </c>
      <c r="AL723" s="1">
        <v>81</v>
      </c>
    </row>
    <row r="724" spans="1:38" x14ac:dyDescent="0.2">
      <c r="A724" s="2" t="str">
        <f>HYPERLINK("https://www.compass.com/listing/160-east-22nd-street-unit-11b-manhattan-ny-10010/29378189461581617/","160 E 22nd St, Unit 11B")</f>
        <v>160 E 22nd St, Unit 11B</v>
      </c>
      <c r="B724" s="2" t="str">
        <f t="shared" si="110"/>
        <v>160 E 22nd St</v>
      </c>
      <c r="C724" s="1" t="s">
        <v>54</v>
      </c>
      <c r="D724" s="1" t="s">
        <v>41</v>
      </c>
      <c r="E724" s="3">
        <v>1523292</v>
      </c>
      <c r="F724" s="1">
        <v>2109.82252077562</v>
      </c>
      <c r="H724" s="1">
        <v>1</v>
      </c>
      <c r="J724" s="1">
        <v>1</v>
      </c>
      <c r="K724" s="1">
        <v>1</v>
      </c>
      <c r="M724" s="1">
        <v>722</v>
      </c>
      <c r="N724" s="1">
        <v>851</v>
      </c>
      <c r="O724" s="1">
        <v>1968</v>
      </c>
      <c r="P724" s="1">
        <v>1117</v>
      </c>
      <c r="Q724" s="1" t="s">
        <v>42</v>
      </c>
      <c r="S724" s="1" t="s">
        <v>42</v>
      </c>
      <c r="T724" s="1" t="s">
        <v>153</v>
      </c>
      <c r="AA724" s="1">
        <v>1523291.86</v>
      </c>
      <c r="AB724" s="1" t="s">
        <v>610</v>
      </c>
      <c r="AC724" s="5">
        <v>41927</v>
      </c>
      <c r="AF724" s="1">
        <v>10010</v>
      </c>
      <c r="AI724" s="1" t="s">
        <v>55</v>
      </c>
      <c r="AJ724" s="1">
        <v>2012</v>
      </c>
      <c r="AK724" s="1" t="s">
        <v>49</v>
      </c>
      <c r="AL724" s="1">
        <v>81</v>
      </c>
    </row>
    <row r="725" spans="1:38" x14ac:dyDescent="0.2">
      <c r="A725" s="2" t="str">
        <f>HYPERLINK("https://www.compass.com/listing/160-east-22nd-street-unit-14b-manhattan-ny-10010/29378193588776913/","160 E 22nd St, Unit 14B")</f>
        <v>160 E 22nd St, Unit 14B</v>
      </c>
      <c r="B725" s="2" t="str">
        <f t="shared" si="110"/>
        <v>160 E 22nd St</v>
      </c>
      <c r="C725" s="1" t="s">
        <v>54</v>
      </c>
      <c r="D725" s="1" t="s">
        <v>41</v>
      </c>
      <c r="E725" s="3">
        <v>1190324</v>
      </c>
      <c r="F725" s="1">
        <v>1648.64835180055</v>
      </c>
      <c r="H725" s="1">
        <v>1</v>
      </c>
      <c r="J725" s="1">
        <v>1</v>
      </c>
      <c r="M725" s="1">
        <v>722</v>
      </c>
      <c r="N725" s="1">
        <v>757</v>
      </c>
      <c r="O725" s="1">
        <v>1547</v>
      </c>
      <c r="P725" s="1">
        <v>790</v>
      </c>
      <c r="Q725" s="1" t="s">
        <v>42</v>
      </c>
      <c r="S725" s="1" t="s">
        <v>42</v>
      </c>
      <c r="T725" s="1" t="s">
        <v>153</v>
      </c>
      <c r="AA725" s="1">
        <v>1190324.1100000001</v>
      </c>
      <c r="AB725" s="1" t="s">
        <v>611</v>
      </c>
      <c r="AC725" s="5">
        <v>41949</v>
      </c>
      <c r="AF725" s="1">
        <v>10010</v>
      </c>
      <c r="AI725" s="1" t="s">
        <v>55</v>
      </c>
      <c r="AJ725" s="1">
        <v>2012</v>
      </c>
      <c r="AK725" s="1" t="s">
        <v>49</v>
      </c>
      <c r="AL725" s="1">
        <v>81</v>
      </c>
    </row>
    <row r="726" spans="1:38" x14ac:dyDescent="0.2">
      <c r="A726" s="2" t="str">
        <f>HYPERLINK("https://www.compass.com/listing/160-east-22nd-street-unit-16d-manhattan-ny-10010/29378198219365249/","160 E 22nd St, Unit 16D")</f>
        <v>160 E 22nd St, Unit 16D</v>
      </c>
      <c r="B726" s="2" t="str">
        <f t="shared" si="110"/>
        <v>160 E 22nd St</v>
      </c>
      <c r="C726" s="1" t="s">
        <v>54</v>
      </c>
      <c r="D726" s="1" t="s">
        <v>41</v>
      </c>
      <c r="E726" s="3">
        <v>1680102</v>
      </c>
      <c r="F726" s="1">
        <v>2016.92960384153</v>
      </c>
      <c r="H726" s="1">
        <v>1</v>
      </c>
      <c r="J726" s="1">
        <v>1</v>
      </c>
      <c r="K726" s="1">
        <v>1</v>
      </c>
      <c r="M726" s="1">
        <v>833</v>
      </c>
      <c r="N726" s="1">
        <v>876</v>
      </c>
      <c r="O726" s="1">
        <v>1789</v>
      </c>
      <c r="P726" s="1">
        <v>913</v>
      </c>
      <c r="Q726" s="1" t="s">
        <v>42</v>
      </c>
      <c r="S726" s="1" t="s">
        <v>42</v>
      </c>
      <c r="T726" s="1" t="s">
        <v>153</v>
      </c>
      <c r="AA726" s="1">
        <v>1680102.36</v>
      </c>
      <c r="AB726" s="1" t="s">
        <v>612</v>
      </c>
      <c r="AC726" s="5">
        <v>42020</v>
      </c>
      <c r="AF726" s="1">
        <v>10010</v>
      </c>
      <c r="AI726" s="1" t="s">
        <v>55</v>
      </c>
      <c r="AJ726" s="1">
        <v>2012</v>
      </c>
      <c r="AK726" s="1" t="s">
        <v>49</v>
      </c>
      <c r="AL726" s="1">
        <v>81</v>
      </c>
    </row>
    <row r="727" spans="1:38" x14ac:dyDescent="0.2">
      <c r="A727" s="2" t="str">
        <f>HYPERLINK("https://www.compass.com/listing/160-east-22nd-street-unit-4a-manhattan-ny-10010/29512113336647649/","160 E 22nd St, Unit 4A")</f>
        <v>160 E 22nd St, Unit 4A</v>
      </c>
      <c r="B727" s="2" t="str">
        <f t="shared" si="110"/>
        <v>160 E 22nd St</v>
      </c>
      <c r="C727" s="1" t="s">
        <v>54</v>
      </c>
      <c r="D727" s="1" t="s">
        <v>41</v>
      </c>
      <c r="E727" s="3">
        <v>1381755</v>
      </c>
      <c r="F727" s="1">
        <v>1631.35195985832</v>
      </c>
      <c r="H727" s="1">
        <v>1</v>
      </c>
      <c r="J727" s="1">
        <v>1</v>
      </c>
      <c r="K727" s="1">
        <v>1</v>
      </c>
      <c r="M727" s="1">
        <v>847</v>
      </c>
      <c r="N727" s="1">
        <v>919</v>
      </c>
      <c r="O727" s="1">
        <v>2235</v>
      </c>
      <c r="P727" s="1">
        <v>1316</v>
      </c>
      <c r="Q727" s="1" t="s">
        <v>42</v>
      </c>
      <c r="S727" s="1" t="s">
        <v>42</v>
      </c>
      <c r="T727" s="1" t="s">
        <v>153</v>
      </c>
      <c r="AA727" s="1">
        <v>1381755.11</v>
      </c>
      <c r="AB727" s="1" t="s">
        <v>613</v>
      </c>
      <c r="AC727" s="5">
        <v>41933</v>
      </c>
      <c r="AF727" s="1">
        <v>10010</v>
      </c>
      <c r="AI727" s="1" t="s">
        <v>55</v>
      </c>
      <c r="AJ727" s="1">
        <v>2012</v>
      </c>
      <c r="AK727" s="1" t="s">
        <v>49</v>
      </c>
      <c r="AL727" s="1">
        <v>81</v>
      </c>
    </row>
    <row r="728" spans="1:38" x14ac:dyDescent="0.2">
      <c r="A728" s="2" t="str">
        <f>HYPERLINK("https://www.compass.com/listing/160-east-22nd-street-unit-15b-manhattan-ny-10010/29512113680615569/","160 E 22nd St, Unit 15B")</f>
        <v>160 E 22nd St, Unit 15B</v>
      </c>
      <c r="B728" s="2" t="str">
        <f t="shared" si="110"/>
        <v>160 E 22nd St</v>
      </c>
      <c r="C728" s="1" t="s">
        <v>54</v>
      </c>
      <c r="D728" s="1" t="s">
        <v>41</v>
      </c>
      <c r="E728" s="3">
        <v>1429613</v>
      </c>
      <c r="F728" s="1">
        <v>1980.0732132963899</v>
      </c>
      <c r="H728" s="1">
        <v>1</v>
      </c>
      <c r="J728" s="1">
        <v>1</v>
      </c>
      <c r="K728" s="1">
        <v>1</v>
      </c>
      <c r="M728" s="1">
        <v>722</v>
      </c>
      <c r="N728" s="1">
        <v>792</v>
      </c>
      <c r="O728" s="1">
        <v>1890</v>
      </c>
      <c r="P728" s="1">
        <v>1098</v>
      </c>
      <c r="Q728" s="1" t="s">
        <v>42</v>
      </c>
      <c r="S728" s="1" t="s">
        <v>42</v>
      </c>
      <c r="T728" s="1" t="s">
        <v>153</v>
      </c>
      <c r="AA728" s="1">
        <v>1429612.86</v>
      </c>
      <c r="AB728" s="1" t="s">
        <v>614</v>
      </c>
      <c r="AC728" s="5">
        <v>41969</v>
      </c>
      <c r="AF728" s="1">
        <v>10010</v>
      </c>
      <c r="AI728" s="1" t="s">
        <v>55</v>
      </c>
      <c r="AJ728" s="1">
        <v>2012</v>
      </c>
      <c r="AK728" s="1" t="s">
        <v>49</v>
      </c>
      <c r="AL728" s="1">
        <v>81</v>
      </c>
    </row>
    <row r="729" spans="1:38" x14ac:dyDescent="0.2">
      <c r="A729" s="2" t="str">
        <f>HYPERLINK("https://www.compass.com/listing/160-east-22nd-street-unit-7b-manhattan-ny-10010/391319227889498145/","160 E 22nd St, Unit 7B")</f>
        <v>160 E 22nd St, Unit 7B</v>
      </c>
      <c r="B729" s="2" t="str">
        <f t="shared" si="110"/>
        <v>160 E 22nd St</v>
      </c>
      <c r="C729" s="1" t="s">
        <v>54</v>
      </c>
      <c r="D729" s="1" t="s">
        <v>41</v>
      </c>
      <c r="E729" s="3">
        <v>1588459</v>
      </c>
      <c r="F729" s="1">
        <v>2194.0041436463998</v>
      </c>
      <c r="H729" s="1">
        <v>1</v>
      </c>
      <c r="I729" s="1">
        <v>1</v>
      </c>
      <c r="J729" s="1">
        <v>1</v>
      </c>
      <c r="K729" s="1">
        <v>1</v>
      </c>
      <c r="M729" s="1">
        <v>724</v>
      </c>
      <c r="N729" s="1">
        <v>688</v>
      </c>
      <c r="O729" s="1">
        <v>944</v>
      </c>
      <c r="P729" s="1">
        <v>256</v>
      </c>
      <c r="S729" s="1" t="s">
        <v>42</v>
      </c>
      <c r="T729" s="1" t="s">
        <v>153</v>
      </c>
      <c r="V729" s="5">
        <v>44247</v>
      </c>
      <c r="AA729" s="1">
        <v>1588459</v>
      </c>
      <c r="AB729" s="1" t="s">
        <v>177</v>
      </c>
      <c r="AC729" s="5">
        <v>43679</v>
      </c>
      <c r="AF729" s="1">
        <v>10010</v>
      </c>
      <c r="AI729" s="1" t="s">
        <v>55</v>
      </c>
      <c r="AJ729" s="1">
        <v>2012</v>
      </c>
      <c r="AK729" s="1" t="s">
        <v>49</v>
      </c>
      <c r="AL729" s="1">
        <v>81</v>
      </c>
    </row>
    <row r="730" spans="1:38" x14ac:dyDescent="0.2">
      <c r="A730" s="2" t="str">
        <f>HYPERLINK("https://www.compass.com/listing/160-east-22nd-street-unit-6a-manhattan-ny-10010/480871613832219097/","160 E 22nd St, Unit 6A")</f>
        <v>160 E 22nd St, Unit 6A</v>
      </c>
      <c r="B730" s="2" t="str">
        <f t="shared" si="110"/>
        <v>160 E 22nd St</v>
      </c>
      <c r="C730" s="1" t="s">
        <v>54</v>
      </c>
      <c r="D730" s="1" t="s">
        <v>41</v>
      </c>
      <c r="E730" s="3">
        <v>1675000</v>
      </c>
      <c r="F730" s="1">
        <v>1940.9038238702201</v>
      </c>
      <c r="H730" s="1">
        <v>1</v>
      </c>
      <c r="J730" s="1">
        <v>1</v>
      </c>
      <c r="M730" s="1">
        <v>863</v>
      </c>
      <c r="N730" s="1">
        <v>920</v>
      </c>
      <c r="O730" s="1">
        <v>2187</v>
      </c>
      <c r="P730" s="1">
        <v>1267</v>
      </c>
      <c r="Q730" s="1" t="s">
        <v>42</v>
      </c>
      <c r="S730" s="1" t="s">
        <v>42</v>
      </c>
      <c r="T730" s="1" t="s">
        <v>153</v>
      </c>
      <c r="AA730" s="1">
        <v>1675000</v>
      </c>
      <c r="AB730" s="1" t="s">
        <v>615</v>
      </c>
      <c r="AC730" s="5">
        <v>43606</v>
      </c>
      <c r="AF730" s="1">
        <v>10010</v>
      </c>
      <c r="AI730" s="1" t="s">
        <v>55</v>
      </c>
      <c r="AJ730" s="1">
        <v>2012</v>
      </c>
      <c r="AK730" s="1" t="s">
        <v>49</v>
      </c>
      <c r="AL730" s="1">
        <v>81</v>
      </c>
    </row>
    <row r="731" spans="1:38" x14ac:dyDescent="0.2">
      <c r="A731" s="2" t="str">
        <f>HYPERLINK("https://www.compass.com/listing/160-east-22nd-street-unit-3b-manhattan-ny-10010/502222064613480337/","160 E 22nd St, Unit 3B")</f>
        <v>160 E 22nd St, Unit 3B</v>
      </c>
      <c r="B731" s="2" t="str">
        <f t="shared" si="110"/>
        <v>160 E 22nd St</v>
      </c>
      <c r="C731" s="1" t="s">
        <v>54</v>
      </c>
      <c r="D731" s="1" t="s">
        <v>41</v>
      </c>
      <c r="E731" s="3">
        <v>1482990</v>
      </c>
      <c r="F731" s="1">
        <v>2136.87319884726</v>
      </c>
      <c r="H731" s="1">
        <v>1</v>
      </c>
      <c r="J731" s="1">
        <v>1</v>
      </c>
      <c r="M731" s="1">
        <v>694</v>
      </c>
      <c r="N731" s="1">
        <v>657</v>
      </c>
      <c r="O731" s="1">
        <v>901</v>
      </c>
      <c r="P731" s="1">
        <v>244</v>
      </c>
      <c r="Q731" s="1" t="s">
        <v>42</v>
      </c>
      <c r="S731" s="1" t="s">
        <v>42</v>
      </c>
      <c r="T731" s="1" t="s">
        <v>153</v>
      </c>
      <c r="AA731" s="1">
        <v>1482990</v>
      </c>
      <c r="AB731" s="1" t="s">
        <v>616</v>
      </c>
      <c r="AC731" s="5">
        <v>41871</v>
      </c>
      <c r="AF731" s="1">
        <v>10010</v>
      </c>
      <c r="AI731" s="1" t="s">
        <v>55</v>
      </c>
      <c r="AJ731" s="1">
        <v>2012</v>
      </c>
      <c r="AK731" s="1" t="s">
        <v>49</v>
      </c>
      <c r="AL731" s="1">
        <v>81</v>
      </c>
    </row>
    <row r="732" spans="1:38" x14ac:dyDescent="0.2">
      <c r="A732" s="2" t="str">
        <f>HYPERLINK("https://www.compass.com/listing/10-madison-square-west-unit-15f-manhattan-ny-10010/167813903080874673/","10 Madison Sq W, Unit 15F")</f>
        <v>10 Madison Sq W, Unit 15F</v>
      </c>
      <c r="B732" s="2" t="str">
        <f t="shared" ref="B732:B741" si="111">HYPERLINK("https://www.compass.com/building/10-madison-square-west-manhattan-ny/294838725091521285/","10 Madison Square West")</f>
        <v>10 Madison Square West</v>
      </c>
      <c r="C732" s="1" t="s">
        <v>56</v>
      </c>
      <c r="D732" s="1" t="s">
        <v>41</v>
      </c>
      <c r="E732" s="3">
        <v>7163389</v>
      </c>
      <c r="F732" s="1">
        <v>2542.01162171753</v>
      </c>
      <c r="H732" s="1">
        <v>4</v>
      </c>
      <c r="J732" s="1">
        <v>4.5</v>
      </c>
      <c r="M732" s="4">
        <v>2818</v>
      </c>
      <c r="N732" s="1">
        <v>3531</v>
      </c>
      <c r="O732" s="1">
        <v>3532</v>
      </c>
      <c r="P732" s="1">
        <v>1</v>
      </c>
      <c r="Q732" s="1" t="s">
        <v>42</v>
      </c>
      <c r="S732" s="1" t="s">
        <v>42</v>
      </c>
      <c r="T732" s="1" t="s">
        <v>153</v>
      </c>
      <c r="AA732" s="1">
        <v>7163388.75</v>
      </c>
      <c r="AB732" s="1" t="s">
        <v>617</v>
      </c>
      <c r="AC732" s="5">
        <v>42558</v>
      </c>
      <c r="AF732" s="1">
        <v>10010</v>
      </c>
      <c r="AI732" s="1" t="s">
        <v>45</v>
      </c>
      <c r="AJ732" s="1">
        <v>1915</v>
      </c>
      <c r="AK732" s="1" t="s">
        <v>49</v>
      </c>
      <c r="AL732" s="1">
        <v>125</v>
      </c>
    </row>
    <row r="733" spans="1:38" x14ac:dyDescent="0.2">
      <c r="A733" s="2" t="str">
        <f>HYPERLINK("https://www.compass.com/listing/10-madison-square-west-unit-9f-manhattan-ny-10010/29374733069970177/","10 Madison Sq W, Unit 9F")</f>
        <v>10 Madison Sq W, Unit 9F</v>
      </c>
      <c r="B733" s="2" t="str">
        <f t="shared" si="111"/>
        <v>10 Madison Square West</v>
      </c>
      <c r="C733" s="1" t="s">
        <v>56</v>
      </c>
      <c r="D733" s="1" t="s">
        <v>41</v>
      </c>
      <c r="E733" s="3">
        <v>6567713</v>
      </c>
      <c r="F733" s="1">
        <v>2332.2842684658999</v>
      </c>
      <c r="H733" s="1">
        <v>4</v>
      </c>
      <c r="J733" s="1">
        <v>4.5</v>
      </c>
      <c r="K733" s="1">
        <v>4</v>
      </c>
      <c r="L733" s="1">
        <v>1</v>
      </c>
      <c r="M733" s="4">
        <v>2816</v>
      </c>
      <c r="N733" s="1">
        <v>3540</v>
      </c>
      <c r="O733" s="1">
        <v>9345</v>
      </c>
      <c r="P733" s="1">
        <v>5805</v>
      </c>
      <c r="Q733" s="1" t="s">
        <v>42</v>
      </c>
      <c r="S733" s="1" t="s">
        <v>42</v>
      </c>
      <c r="T733" s="1" t="s">
        <v>153</v>
      </c>
      <c r="AA733" s="1">
        <v>6567712.5</v>
      </c>
      <c r="AB733" s="1" t="s">
        <v>618</v>
      </c>
      <c r="AC733" s="5">
        <v>42438</v>
      </c>
      <c r="AF733" s="1">
        <v>10010</v>
      </c>
      <c r="AI733" s="1" t="s">
        <v>45</v>
      </c>
      <c r="AJ733" s="1">
        <v>1915</v>
      </c>
      <c r="AK733" s="1" t="s">
        <v>49</v>
      </c>
      <c r="AL733" s="1">
        <v>125</v>
      </c>
    </row>
    <row r="734" spans="1:38" x14ac:dyDescent="0.2">
      <c r="A734" s="2" t="str">
        <f>HYPERLINK("https://www.compass.com/listing/10-madison-square-west-unit-11f-manhattan-ny-10010/29374737213942625/","10 Madison Sq W, Unit 11F")</f>
        <v>10 Madison Sq W, Unit 11F</v>
      </c>
      <c r="B734" s="2" t="str">
        <f t="shared" si="111"/>
        <v>10 Madison Square West</v>
      </c>
      <c r="C734" s="1" t="s">
        <v>56</v>
      </c>
      <c r="D734" s="1" t="s">
        <v>41</v>
      </c>
      <c r="E734" s="3">
        <v>6669538</v>
      </c>
      <c r="F734" s="1">
        <v>2366.7627750177398</v>
      </c>
      <c r="H734" s="1">
        <v>4</v>
      </c>
      <c r="J734" s="1">
        <v>4.5</v>
      </c>
      <c r="K734" s="1">
        <v>4</v>
      </c>
      <c r="L734" s="1">
        <v>1</v>
      </c>
      <c r="M734" s="4">
        <v>2818</v>
      </c>
      <c r="N734" s="1">
        <v>3539</v>
      </c>
      <c r="O734" s="1">
        <v>7582</v>
      </c>
      <c r="P734" s="1">
        <v>4043</v>
      </c>
      <c r="Q734" s="1" t="s">
        <v>42</v>
      </c>
      <c r="S734" s="1" t="s">
        <v>42</v>
      </c>
      <c r="T734" s="1" t="s">
        <v>153</v>
      </c>
      <c r="AA734" s="1">
        <v>6669537.5</v>
      </c>
      <c r="AB734" s="1" t="s">
        <v>619</v>
      </c>
      <c r="AC734" s="5">
        <v>42306</v>
      </c>
      <c r="AF734" s="1">
        <v>10010</v>
      </c>
      <c r="AI734" s="1" t="s">
        <v>45</v>
      </c>
      <c r="AJ734" s="1">
        <v>1915</v>
      </c>
      <c r="AK734" s="1" t="s">
        <v>49</v>
      </c>
      <c r="AL734" s="1">
        <v>125</v>
      </c>
    </row>
    <row r="735" spans="1:38" x14ac:dyDescent="0.2">
      <c r="A735" s="2" t="str">
        <f>HYPERLINK("https://www.compass.com/listing/10-madison-square-west-unit-16d-manhattan-ny-10010/29374748135855265/","10 Madison Sq W, Unit 16D")</f>
        <v>10 Madison Sq W, Unit 16D</v>
      </c>
      <c r="B735" s="2" t="str">
        <f t="shared" si="111"/>
        <v>10 Madison Square West</v>
      </c>
      <c r="C735" s="1" t="s">
        <v>56</v>
      </c>
      <c r="D735" s="1" t="s">
        <v>41</v>
      </c>
      <c r="E735" s="3">
        <v>13237250</v>
      </c>
      <c r="F735" s="1">
        <v>4000.3777576307002</v>
      </c>
      <c r="H735" s="1">
        <v>4</v>
      </c>
      <c r="J735" s="1">
        <v>4.5</v>
      </c>
      <c r="M735" s="4">
        <v>3309</v>
      </c>
      <c r="N735" s="1">
        <v>4157</v>
      </c>
      <c r="O735" s="1">
        <v>9856</v>
      </c>
      <c r="P735" s="1">
        <v>5699</v>
      </c>
      <c r="Q735" s="1" t="s">
        <v>42</v>
      </c>
      <c r="S735" s="1" t="s">
        <v>42</v>
      </c>
      <c r="T735" s="1" t="s">
        <v>153</v>
      </c>
      <c r="AA735" s="1">
        <v>13237250</v>
      </c>
      <c r="AB735" s="1" t="s">
        <v>620</v>
      </c>
      <c r="AC735" s="5">
        <v>42579</v>
      </c>
      <c r="AF735" s="1">
        <v>10010</v>
      </c>
      <c r="AI735" s="1" t="s">
        <v>45</v>
      </c>
      <c r="AJ735" s="1">
        <v>1915</v>
      </c>
      <c r="AK735" s="1" t="s">
        <v>49</v>
      </c>
      <c r="AL735" s="1">
        <v>125</v>
      </c>
    </row>
    <row r="736" spans="1:38" x14ac:dyDescent="0.2">
      <c r="A736" s="2" t="str">
        <f>HYPERLINK("https://www.compass.com/listing/10-madison-square-west-unit-21b-manhattan-ny-10010/29374754788021521/","10 Madison Sq W, Unit 21B")</f>
        <v>10 Madison Sq W, Unit 21B</v>
      </c>
      <c r="B736" s="2" t="str">
        <f t="shared" si="111"/>
        <v>10 Madison Square West</v>
      </c>
      <c r="C736" s="1" t="s">
        <v>56</v>
      </c>
      <c r="D736" s="1" t="s">
        <v>41</v>
      </c>
      <c r="E736" s="3">
        <v>15782875</v>
      </c>
      <c r="F736" s="1">
        <v>4874.2665225447799</v>
      </c>
      <c r="H736" s="1">
        <v>4</v>
      </c>
      <c r="J736" s="1">
        <v>4.5</v>
      </c>
      <c r="M736" s="4">
        <v>3238</v>
      </c>
      <c r="N736" s="1">
        <v>4095</v>
      </c>
      <c r="O736" s="1">
        <v>7447</v>
      </c>
      <c r="P736" s="1">
        <v>3352</v>
      </c>
      <c r="Q736" s="1" t="s">
        <v>42</v>
      </c>
      <c r="S736" s="1" t="s">
        <v>42</v>
      </c>
      <c r="T736" s="1" t="s">
        <v>153</v>
      </c>
      <c r="AA736" s="1">
        <v>15782875</v>
      </c>
      <c r="AB736" s="1" t="s">
        <v>621</v>
      </c>
      <c r="AC736" s="5">
        <v>42804</v>
      </c>
      <c r="AF736" s="1">
        <v>10010</v>
      </c>
      <c r="AI736" s="1" t="s">
        <v>45</v>
      </c>
      <c r="AJ736" s="1">
        <v>1915</v>
      </c>
      <c r="AK736" s="1" t="s">
        <v>49</v>
      </c>
      <c r="AL736" s="1">
        <v>125</v>
      </c>
    </row>
    <row r="737" spans="1:38" x14ac:dyDescent="0.2">
      <c r="A737" s="2" t="str">
        <f>HYPERLINK("https://www.compass.com/listing/10-madison-square-west-unit-17d-manhattan-ny-10010/567407913890072145/","10 Madison Sq W, Unit 17D")</f>
        <v>10 Madison Sq W, Unit 17D</v>
      </c>
      <c r="B737" s="2" t="str">
        <f t="shared" si="111"/>
        <v>10 Madison Square West</v>
      </c>
      <c r="C737" s="1" t="s">
        <v>56</v>
      </c>
      <c r="D737" s="1" t="s">
        <v>41</v>
      </c>
      <c r="E737" s="3">
        <v>13980938</v>
      </c>
      <c r="F737" s="1">
        <v>4225.1246600181303</v>
      </c>
      <c r="H737" s="1">
        <v>4</v>
      </c>
      <c r="J737" s="1">
        <v>4.5</v>
      </c>
      <c r="M737" s="4">
        <v>3309</v>
      </c>
      <c r="N737" s="1">
        <v>4145</v>
      </c>
      <c r="O737" s="1">
        <v>4145</v>
      </c>
      <c r="Q737" s="1" t="s">
        <v>42</v>
      </c>
      <c r="S737" s="1" t="s">
        <v>42</v>
      </c>
      <c r="T737" s="1" t="s">
        <v>153</v>
      </c>
      <c r="AA737" s="1">
        <v>13980937.5</v>
      </c>
      <c r="AB737" s="1" t="s">
        <v>622</v>
      </c>
      <c r="AC737" s="5">
        <v>42621</v>
      </c>
      <c r="AF737" s="1">
        <v>10010</v>
      </c>
      <c r="AI737" s="1" t="s">
        <v>45</v>
      </c>
      <c r="AJ737" s="1">
        <v>1915</v>
      </c>
      <c r="AK737" s="1" t="s">
        <v>49</v>
      </c>
      <c r="AL737" s="1">
        <v>125</v>
      </c>
    </row>
    <row r="738" spans="1:38" x14ac:dyDescent="0.2">
      <c r="A738" s="2" t="str">
        <f>HYPERLINK("https://www.compass.com/listing/10-madison-square-west-unit-10f-manhattan-ny-10010/70915385158904353/","10 Madison Sq W, Unit 10F")</f>
        <v>10 Madison Sq W, Unit 10F</v>
      </c>
      <c r="B738" s="2" t="str">
        <f t="shared" si="111"/>
        <v>10 Madison Square West</v>
      </c>
      <c r="C738" s="1" t="s">
        <v>56</v>
      </c>
      <c r="D738" s="1" t="s">
        <v>41</v>
      </c>
      <c r="E738" s="3">
        <v>6975013</v>
      </c>
      <c r="F738" s="1">
        <v>2475.1641234918302</v>
      </c>
      <c r="H738" s="1">
        <v>4</v>
      </c>
      <c r="J738" s="1">
        <v>4.5</v>
      </c>
      <c r="M738" s="4">
        <v>2818</v>
      </c>
      <c r="N738" s="1">
        <v>3530</v>
      </c>
      <c r="O738" s="1">
        <v>6419</v>
      </c>
      <c r="P738" s="1">
        <v>2889</v>
      </c>
      <c r="Q738" s="1" t="s">
        <v>42</v>
      </c>
      <c r="S738" s="1" t="s">
        <v>42</v>
      </c>
      <c r="T738" s="1" t="s">
        <v>153</v>
      </c>
      <c r="AA738" s="1">
        <v>6975012.5</v>
      </c>
      <c r="AB738" s="1" t="s">
        <v>623</v>
      </c>
      <c r="AC738" s="5">
        <v>42433</v>
      </c>
      <c r="AF738" s="1">
        <v>10010</v>
      </c>
      <c r="AI738" s="1" t="s">
        <v>45</v>
      </c>
      <c r="AJ738" s="1">
        <v>1915</v>
      </c>
      <c r="AK738" s="1" t="s">
        <v>49</v>
      </c>
      <c r="AL738" s="1">
        <v>125</v>
      </c>
    </row>
    <row r="739" spans="1:38" x14ac:dyDescent="0.2">
      <c r="A739" s="2" t="str">
        <f>HYPERLINK("https://www.compass.com/listing/10-madison-square-west-unit-15d-manhattan-ny-10010/70915961867315809/","10 Madison Sq W, Unit 15D")</f>
        <v>10 Madison Sq W, Unit 15D</v>
      </c>
      <c r="B739" s="2" t="str">
        <f t="shared" si="111"/>
        <v>10 Madison Square West</v>
      </c>
      <c r="C739" s="1" t="s">
        <v>56</v>
      </c>
      <c r="D739" s="1" t="s">
        <v>41</v>
      </c>
      <c r="E739" s="3">
        <v>13256088</v>
      </c>
      <c r="F739" s="1">
        <v>4006.0706044121998</v>
      </c>
      <c r="H739" s="1">
        <v>4</v>
      </c>
      <c r="J739" s="1">
        <v>4.5</v>
      </c>
      <c r="M739" s="4">
        <v>3309</v>
      </c>
      <c r="N739" s="1">
        <v>4145</v>
      </c>
      <c r="O739" s="1">
        <v>7538</v>
      </c>
      <c r="P739" s="1">
        <v>3393</v>
      </c>
      <c r="Q739" s="1" t="s">
        <v>42</v>
      </c>
      <c r="S739" s="1" t="s">
        <v>42</v>
      </c>
      <c r="T739" s="1" t="s">
        <v>153</v>
      </c>
      <c r="AA739" s="1">
        <v>13256087.630000001</v>
      </c>
      <c r="AB739" s="1" t="s">
        <v>624</v>
      </c>
      <c r="AC739" s="5">
        <v>42466</v>
      </c>
      <c r="AF739" s="1">
        <v>10010</v>
      </c>
      <c r="AI739" s="1" t="s">
        <v>45</v>
      </c>
      <c r="AJ739" s="1">
        <v>1915</v>
      </c>
      <c r="AK739" s="1" t="s">
        <v>49</v>
      </c>
      <c r="AL739" s="1">
        <v>125</v>
      </c>
    </row>
    <row r="740" spans="1:38" x14ac:dyDescent="0.2">
      <c r="A740" s="2" t="str">
        <f>HYPERLINK("https://www.compass.com/listing/10-madison-square-west-unit-18a-manhattan-ny-10010/79389290546651681/","10 Madison Sq W, Unit 18A")</f>
        <v>10 Madison Sq W, Unit 18A</v>
      </c>
      <c r="B740" s="2" t="str">
        <f t="shared" si="111"/>
        <v>10 Madison Square West</v>
      </c>
      <c r="C740" s="1" t="s">
        <v>56</v>
      </c>
      <c r="D740" s="1" t="s">
        <v>41</v>
      </c>
      <c r="E740" s="3">
        <v>28000000</v>
      </c>
      <c r="F740" s="1">
        <v>4136.5046535677302</v>
      </c>
      <c r="H740" s="1">
        <v>5</v>
      </c>
      <c r="J740" s="1">
        <v>5</v>
      </c>
      <c r="M740" s="4">
        <v>6769</v>
      </c>
      <c r="N740" s="1">
        <v>4961</v>
      </c>
      <c r="O740" s="1">
        <v>9021</v>
      </c>
      <c r="P740" s="1">
        <v>4060</v>
      </c>
      <c r="Q740" s="1" t="s">
        <v>42</v>
      </c>
      <c r="S740" s="1" t="s">
        <v>42</v>
      </c>
      <c r="T740" s="1" t="s">
        <v>153</v>
      </c>
      <c r="AA740" s="1">
        <v>28000000</v>
      </c>
      <c r="AB740" s="1" t="s">
        <v>625</v>
      </c>
      <c r="AC740" s="5">
        <v>42754</v>
      </c>
      <c r="AF740" s="1">
        <v>10010</v>
      </c>
      <c r="AI740" s="1" t="s">
        <v>45</v>
      </c>
      <c r="AJ740" s="1">
        <v>1915</v>
      </c>
      <c r="AK740" s="1" t="s">
        <v>49</v>
      </c>
      <c r="AL740" s="1">
        <v>125</v>
      </c>
    </row>
    <row r="741" spans="1:38" x14ac:dyDescent="0.2">
      <c r="A741" s="2" t="str">
        <f>HYPERLINK("https://www.compass.com/listing/10-madison-square-west-unit-9f-manhattan-ny-10010/842484924608251425/","10 Madison Sq W, Unit 9F")</f>
        <v>10 Madison Sq W, Unit 9F</v>
      </c>
      <c r="B741" s="2" t="str">
        <f t="shared" si="111"/>
        <v>10 Madison Square West</v>
      </c>
      <c r="C741" s="1" t="s">
        <v>56</v>
      </c>
      <c r="D741" s="1" t="s">
        <v>41</v>
      </c>
      <c r="E741" s="3">
        <v>5800000</v>
      </c>
      <c r="F741" s="1">
        <v>2059.6590909090901</v>
      </c>
      <c r="H741" s="1">
        <v>4</v>
      </c>
      <c r="J741" s="1">
        <v>4.5</v>
      </c>
      <c r="K741" s="1">
        <v>4</v>
      </c>
      <c r="L741" s="1">
        <v>1</v>
      </c>
      <c r="M741" s="4">
        <v>2816</v>
      </c>
      <c r="N741" s="1">
        <v>3540</v>
      </c>
      <c r="O741" s="1">
        <v>9345</v>
      </c>
      <c r="P741" s="1">
        <v>5805</v>
      </c>
      <c r="Q741" s="1" t="s">
        <v>42</v>
      </c>
      <c r="S741" s="1" t="s">
        <v>42</v>
      </c>
      <c r="T741" s="1" t="s">
        <v>153</v>
      </c>
      <c r="AA741" s="1">
        <v>5800000</v>
      </c>
      <c r="AB741" s="1" t="s">
        <v>626</v>
      </c>
      <c r="AC741" s="5">
        <v>44407</v>
      </c>
      <c r="AF741" s="1">
        <v>10010</v>
      </c>
      <c r="AI741" s="1" t="s">
        <v>45</v>
      </c>
      <c r="AJ741" s="1">
        <v>1915</v>
      </c>
      <c r="AK741" s="1" t="s">
        <v>49</v>
      </c>
      <c r="AL741" s="1">
        <v>125</v>
      </c>
    </row>
    <row r="742" spans="1:38" x14ac:dyDescent="0.2">
      <c r="A742" s="2" t="str">
        <f>HYPERLINK("https://www.compass.com/listing/180-6th-avenue-unit-10a-manhattan-ny-10012/13087399554843633/","180 6th Ave, Unit 10A")</f>
        <v>180 6th Ave, Unit 10A</v>
      </c>
      <c r="B742" s="2" t="str">
        <f>HYPERLINK("https://www.compass.com/building/one-vandam-manhattan-ny/307436879024291493/","One Vandam")</f>
        <v>One Vandam</v>
      </c>
      <c r="C742" s="1" t="s">
        <v>50</v>
      </c>
      <c r="D742" s="1" t="s">
        <v>41</v>
      </c>
      <c r="E742" s="3">
        <v>6600000</v>
      </c>
      <c r="F742" s="1">
        <v>2919.06236178682</v>
      </c>
      <c r="G742" s="1">
        <v>6</v>
      </c>
      <c r="H742" s="1">
        <v>4</v>
      </c>
      <c r="I742" s="1">
        <v>4</v>
      </c>
      <c r="J742" s="1">
        <v>3.5</v>
      </c>
      <c r="M742" s="4">
        <v>2261</v>
      </c>
      <c r="N742" s="1">
        <v>3127</v>
      </c>
      <c r="O742" s="1">
        <v>6101</v>
      </c>
      <c r="P742" s="1">
        <v>2974</v>
      </c>
      <c r="Q742" s="1" t="s">
        <v>42</v>
      </c>
      <c r="S742" s="1" t="s">
        <v>42</v>
      </c>
      <c r="T742" s="1" t="s">
        <v>153</v>
      </c>
      <c r="U742" s="1">
        <v>37</v>
      </c>
      <c r="V742" s="5">
        <v>43631</v>
      </c>
      <c r="W742" s="5">
        <v>42781</v>
      </c>
      <c r="X742" s="1">
        <v>6550000</v>
      </c>
      <c r="Y742" s="1">
        <v>6550000</v>
      </c>
      <c r="Z742" s="5">
        <v>42818</v>
      </c>
      <c r="AA742" s="1">
        <v>6600000</v>
      </c>
      <c r="AB742" s="1" t="s">
        <v>627</v>
      </c>
      <c r="AC742" s="5">
        <v>42878</v>
      </c>
      <c r="AF742" s="1">
        <v>10012</v>
      </c>
      <c r="AI742" s="1" t="s">
        <v>628</v>
      </c>
      <c r="AJ742" s="1">
        <v>2014</v>
      </c>
      <c r="AK742" s="1" t="s">
        <v>46</v>
      </c>
      <c r="AL742" s="1">
        <v>25</v>
      </c>
    </row>
    <row r="743" spans="1:38" x14ac:dyDescent="0.2">
      <c r="A743" s="2" t="str">
        <f>HYPERLINK("https://www.compass.com/listing/293-lafayette-street-unit-ph2-manhattan-ny-10012/13087401417159681/","293 Lafayette St, Unit PH2")</f>
        <v>293 Lafayette St, Unit PH2</v>
      </c>
      <c r="B743" s="2" t="str">
        <f>HYPERLINK("https://www.compass.com/building/puck-penthouses-manhattan-ny/292811307244096869/","Puck Penthouses")</f>
        <v>Puck Penthouses</v>
      </c>
      <c r="C743" s="1" t="s">
        <v>97</v>
      </c>
      <c r="D743" s="1" t="s">
        <v>41</v>
      </c>
      <c r="E743" s="3">
        <v>28000000</v>
      </c>
      <c r="F743" s="1">
        <v>5361.9302949061603</v>
      </c>
      <c r="G743" s="1">
        <v>9</v>
      </c>
      <c r="H743" s="1">
        <v>3</v>
      </c>
      <c r="I743" s="1">
        <v>6</v>
      </c>
      <c r="J743" s="1">
        <v>0.5</v>
      </c>
      <c r="L743" s="1">
        <v>1</v>
      </c>
      <c r="M743" s="4">
        <v>5222</v>
      </c>
      <c r="N743" s="1">
        <v>8478</v>
      </c>
      <c r="O743" s="1">
        <v>13705</v>
      </c>
      <c r="P743" s="1">
        <v>5227</v>
      </c>
      <c r="Q743" s="1" t="s">
        <v>42</v>
      </c>
      <c r="S743" s="1" t="s">
        <v>42</v>
      </c>
      <c r="T743" s="1" t="s">
        <v>153</v>
      </c>
      <c r="V743" s="5">
        <v>43267</v>
      </c>
      <c r="W743" s="5">
        <v>41894</v>
      </c>
      <c r="X743" s="1">
        <v>35100000</v>
      </c>
      <c r="AB743" s="1" t="s">
        <v>177</v>
      </c>
      <c r="AF743" s="1">
        <v>10012</v>
      </c>
      <c r="AI743" s="1" t="s">
        <v>75</v>
      </c>
      <c r="AJ743" s="1">
        <v>1885</v>
      </c>
      <c r="AK743" s="1" t="s">
        <v>46</v>
      </c>
      <c r="AL743" s="1">
        <v>6</v>
      </c>
    </row>
    <row r="744" spans="1:38" x14ac:dyDescent="0.2">
      <c r="A744" s="2" t="str">
        <f>HYPERLINK("https://www.compass.com/listing/160-east-22nd-street-unit-4b-manhattan-ny-10010/29378174706096449/","160 E 22nd St, Unit 4B")</f>
        <v>160 E 22nd St, Unit 4B</v>
      </c>
      <c r="B744" s="2" t="str">
        <f t="shared" ref="B744:B746" si="112">HYPERLINK("https://www.compass.com/building/160-e-22nd-st-manhattan-ny-10010/292796862321154661/","160 E 22nd St")</f>
        <v>160 E 22nd St</v>
      </c>
      <c r="C744" s="1" t="s">
        <v>54</v>
      </c>
      <c r="D744" s="1" t="s">
        <v>41</v>
      </c>
      <c r="E744" s="3">
        <v>1075262</v>
      </c>
      <c r="F744" s="1">
        <v>1549.36867435158</v>
      </c>
      <c r="H744" s="1">
        <v>1</v>
      </c>
      <c r="J744" s="1">
        <v>1</v>
      </c>
      <c r="K744" s="1">
        <v>1</v>
      </c>
      <c r="M744" s="1">
        <v>694</v>
      </c>
      <c r="N744" s="1">
        <v>812</v>
      </c>
      <c r="O744" s="1">
        <v>2274</v>
      </c>
      <c r="P744" s="1">
        <v>1462</v>
      </c>
      <c r="Q744" s="1" t="s">
        <v>42</v>
      </c>
      <c r="S744" s="1" t="s">
        <v>42</v>
      </c>
      <c r="T744" s="1" t="s">
        <v>153</v>
      </c>
      <c r="AA744" s="1">
        <v>1075261.8600000001</v>
      </c>
      <c r="AB744" s="1" t="s">
        <v>629</v>
      </c>
      <c r="AC744" s="5">
        <v>41908</v>
      </c>
      <c r="AF744" s="1">
        <v>10010</v>
      </c>
      <c r="AI744" s="1" t="s">
        <v>55</v>
      </c>
      <c r="AJ744" s="1">
        <v>2012</v>
      </c>
      <c r="AK744" s="1" t="s">
        <v>49</v>
      </c>
      <c r="AL744" s="1">
        <v>81</v>
      </c>
    </row>
    <row r="745" spans="1:38" x14ac:dyDescent="0.2">
      <c r="A745" s="2" t="str">
        <f>HYPERLINK("https://www.compass.com/listing/160-east-22nd-street-unit-6a-manhattan-ny-10010/29378178573174225/","160 E 22nd St, Unit 6A")</f>
        <v>160 E 22nd St, Unit 6A</v>
      </c>
      <c r="B745" s="2" t="str">
        <f t="shared" si="112"/>
        <v>160 E 22nd St</v>
      </c>
      <c r="C745" s="1" t="s">
        <v>54</v>
      </c>
      <c r="D745" s="1" t="s">
        <v>41</v>
      </c>
      <c r="E745" s="3">
        <v>1108000</v>
      </c>
      <c r="F745" s="1">
        <v>1283.8933951332499</v>
      </c>
      <c r="H745" s="1">
        <v>1</v>
      </c>
      <c r="J745" s="1">
        <v>1</v>
      </c>
      <c r="M745" s="1">
        <v>863</v>
      </c>
      <c r="N745" s="1">
        <v>920</v>
      </c>
      <c r="O745" s="1">
        <v>2187</v>
      </c>
      <c r="P745" s="1">
        <v>1267</v>
      </c>
      <c r="Q745" s="1" t="s">
        <v>42</v>
      </c>
      <c r="S745" s="1" t="s">
        <v>42</v>
      </c>
      <c r="T745" s="1" t="s">
        <v>153</v>
      </c>
      <c r="AA745" s="1">
        <v>1108000</v>
      </c>
      <c r="AB745" s="1" t="s">
        <v>630</v>
      </c>
      <c r="AC745" s="5">
        <v>43133</v>
      </c>
      <c r="AF745" s="1">
        <v>10010</v>
      </c>
      <c r="AI745" s="1" t="s">
        <v>55</v>
      </c>
      <c r="AJ745" s="1">
        <v>2012</v>
      </c>
      <c r="AK745" s="1" t="s">
        <v>49</v>
      </c>
      <c r="AL745" s="1">
        <v>81</v>
      </c>
    </row>
    <row r="746" spans="1:38" x14ac:dyDescent="0.2">
      <c r="A746" s="2" t="str">
        <f>HYPERLINK("https://www.compass.com/listing/160-east-22nd-street-unit-6a-manhattan-ny-10010/391328783210001489/","160 E 22nd St, Unit 6A")</f>
        <v>160 E 22nd St, Unit 6A</v>
      </c>
      <c r="B746" s="2" t="str">
        <f t="shared" si="112"/>
        <v>160 E 22nd St</v>
      </c>
      <c r="C746" s="1" t="s">
        <v>54</v>
      </c>
      <c r="D746" s="1" t="s">
        <v>41</v>
      </c>
      <c r="E746" s="3">
        <v>1108000</v>
      </c>
      <c r="F746" s="1">
        <v>1283.8933951332499</v>
      </c>
      <c r="H746" s="1">
        <v>1</v>
      </c>
      <c r="I746" s="1">
        <v>1</v>
      </c>
      <c r="J746" s="1">
        <v>1</v>
      </c>
      <c r="K746" s="1">
        <v>1</v>
      </c>
      <c r="M746" s="1">
        <v>863</v>
      </c>
      <c r="N746" s="1">
        <v>804</v>
      </c>
      <c r="O746" s="1">
        <v>1103</v>
      </c>
      <c r="P746" s="1">
        <v>299</v>
      </c>
      <c r="S746" s="1" t="s">
        <v>42</v>
      </c>
      <c r="T746" s="1" t="s">
        <v>153</v>
      </c>
      <c r="V746" s="5">
        <v>44247</v>
      </c>
      <c r="AA746" s="1">
        <v>1108000</v>
      </c>
      <c r="AB746" s="1" t="s">
        <v>177</v>
      </c>
      <c r="AC746" s="5">
        <v>43679</v>
      </c>
      <c r="AF746" s="1">
        <v>10010</v>
      </c>
      <c r="AI746" s="1" t="s">
        <v>55</v>
      </c>
      <c r="AJ746" s="1">
        <v>2012</v>
      </c>
      <c r="AK746" s="1" t="s">
        <v>49</v>
      </c>
      <c r="AL746" s="1">
        <v>81</v>
      </c>
    </row>
    <row r="747" spans="1:38" x14ac:dyDescent="0.2">
      <c r="A747" s="2" t="str">
        <f>HYPERLINK("https://www.compass.com/listing/54-greene-street-unit-4b-manhattan-ny-10013/29362479897314625/","54 Greene St, Unit 4B")</f>
        <v>54 Greene St, Unit 4B</v>
      </c>
      <c r="B747" s="2" t="str">
        <f>HYPERLINK("https://www.compass.com/building/54-greene-st-manhattan-ny-10013/292817693046776565/","54 Greene St")</f>
        <v>54 Greene St</v>
      </c>
      <c r="C747" s="1" t="s">
        <v>50</v>
      </c>
      <c r="D747" s="1" t="s">
        <v>41</v>
      </c>
      <c r="E747" s="3">
        <v>5600375</v>
      </c>
      <c r="F747" s="1">
        <v>1901.0098438560699</v>
      </c>
      <c r="G747" s="1">
        <v>5</v>
      </c>
      <c r="H747" s="1">
        <v>3</v>
      </c>
      <c r="I747" s="1">
        <v>3</v>
      </c>
      <c r="J747" s="1">
        <v>2.5</v>
      </c>
      <c r="M747" s="4">
        <v>2946</v>
      </c>
      <c r="N747" s="1">
        <v>1151</v>
      </c>
      <c r="O747" s="1">
        <v>2674</v>
      </c>
      <c r="Q747" s="1" t="s">
        <v>580</v>
      </c>
      <c r="S747" s="1" t="s">
        <v>580</v>
      </c>
      <c r="T747" s="1" t="s">
        <v>153</v>
      </c>
      <c r="U747" s="1">
        <v>7</v>
      </c>
      <c r="V747" s="5">
        <v>43668</v>
      </c>
      <c r="W747" s="5">
        <v>42679</v>
      </c>
      <c r="X747" s="1">
        <v>5898000</v>
      </c>
      <c r="Y747" s="1">
        <v>5898000</v>
      </c>
      <c r="Z747" s="5">
        <v>42686</v>
      </c>
      <c r="AA747" s="1">
        <v>5600375</v>
      </c>
      <c r="AB747" s="1" t="s">
        <v>631</v>
      </c>
      <c r="AC747" s="5">
        <v>42906</v>
      </c>
      <c r="AF747" s="1">
        <v>10013</v>
      </c>
      <c r="AI747" s="1" t="s">
        <v>145</v>
      </c>
      <c r="AJ747" s="1">
        <v>1910</v>
      </c>
      <c r="AL747" s="1">
        <v>5</v>
      </c>
    </row>
    <row r="748" spans="1:38" x14ac:dyDescent="0.2">
      <c r="A748" s="2" t="str">
        <f>HYPERLINK("https://www.compass.com/listing/293-lafayette-street-unit-phiv-manhattan-ny-10012/4852282457011004001/","293 Lafayette St, Unit PHIV")</f>
        <v>293 Lafayette St, Unit PHIV</v>
      </c>
      <c r="B748" s="2" t="str">
        <f>HYPERLINK("https://www.compass.com/building/puck-penthouses-manhattan-ny/292811307244096869/","Puck Penthouses")</f>
        <v>Puck Penthouses</v>
      </c>
      <c r="C748" s="1" t="s">
        <v>97</v>
      </c>
      <c r="D748" s="1" t="s">
        <v>41</v>
      </c>
      <c r="E748" s="3">
        <v>27500000</v>
      </c>
      <c r="F748" s="1">
        <v>4646.05507687109</v>
      </c>
      <c r="G748" s="1">
        <v>15</v>
      </c>
      <c r="H748" s="1">
        <v>3</v>
      </c>
      <c r="I748" s="1">
        <v>6</v>
      </c>
      <c r="J748" s="1">
        <v>5.5</v>
      </c>
      <c r="M748" s="4">
        <v>5919</v>
      </c>
      <c r="N748" s="1">
        <v>9999</v>
      </c>
      <c r="O748" s="1">
        <v>18123</v>
      </c>
      <c r="P748" s="1">
        <v>8124</v>
      </c>
      <c r="Q748" s="1" t="s">
        <v>42</v>
      </c>
      <c r="S748" s="1" t="s">
        <v>42</v>
      </c>
      <c r="T748" s="1" t="s">
        <v>153</v>
      </c>
      <c r="V748" s="5">
        <v>43689</v>
      </c>
      <c r="W748" s="5">
        <v>41664</v>
      </c>
      <c r="X748" s="1">
        <v>27500000</v>
      </c>
      <c r="Y748" s="1">
        <v>27500000</v>
      </c>
      <c r="Z748" s="5">
        <v>41664</v>
      </c>
      <c r="AA748" s="1">
        <v>27500000</v>
      </c>
      <c r="AB748" s="1" t="s">
        <v>177</v>
      </c>
      <c r="AC748" s="5">
        <v>41789</v>
      </c>
      <c r="AF748" s="1">
        <v>10012</v>
      </c>
      <c r="AI748" s="1" t="s">
        <v>75</v>
      </c>
      <c r="AJ748" s="1">
        <v>1885</v>
      </c>
      <c r="AK748" s="1" t="s">
        <v>46</v>
      </c>
      <c r="AL748" s="1">
        <v>6</v>
      </c>
    </row>
    <row r="749" spans="1:38" x14ac:dyDescent="0.2">
      <c r="A749" s="2" t="str">
        <f>HYPERLINK("https://www.compass.com/listing/180-6th-avenue-unit-5a-manhattan-ny-10013/13087388431678161/","180 6th Ave, Unit 5A")</f>
        <v>180 6th Ave, Unit 5A</v>
      </c>
      <c r="B749" s="2" t="str">
        <f t="shared" ref="B749:B751" si="113">HYPERLINK("https://www.compass.com/building/one-vandam-manhattan-ny/307436879024291493/","One Vandam")</f>
        <v>One Vandam</v>
      </c>
      <c r="C749" s="1" t="s">
        <v>50</v>
      </c>
      <c r="D749" s="1" t="s">
        <v>41</v>
      </c>
      <c r="E749" s="3">
        <v>3446776</v>
      </c>
      <c r="F749" s="1">
        <v>2213.7289659601702</v>
      </c>
      <c r="G749" s="1">
        <v>4.5</v>
      </c>
      <c r="H749" s="1">
        <v>2</v>
      </c>
      <c r="I749" s="1">
        <v>3</v>
      </c>
      <c r="J749" s="1">
        <v>2.5</v>
      </c>
      <c r="M749" s="4">
        <v>1557</v>
      </c>
      <c r="N749" s="1">
        <v>2065</v>
      </c>
      <c r="O749" s="1">
        <v>4028</v>
      </c>
      <c r="P749" s="1">
        <v>1963</v>
      </c>
      <c r="Q749" s="1" t="s">
        <v>42</v>
      </c>
      <c r="S749" s="1" t="s">
        <v>42</v>
      </c>
      <c r="T749" s="1" t="s">
        <v>153</v>
      </c>
      <c r="U749" s="1">
        <v>24</v>
      </c>
      <c r="V749" s="5">
        <v>43682</v>
      </c>
      <c r="W749" s="5">
        <v>41576</v>
      </c>
      <c r="X749" s="1">
        <v>3385000</v>
      </c>
      <c r="Y749" s="1">
        <v>3385000</v>
      </c>
      <c r="Z749" s="5">
        <v>41600</v>
      </c>
      <c r="AA749" s="1">
        <v>3446776</v>
      </c>
      <c r="AB749" s="1" t="s">
        <v>632</v>
      </c>
      <c r="AC749" s="5">
        <v>42446</v>
      </c>
      <c r="AF749" s="1">
        <v>10013</v>
      </c>
      <c r="AI749" s="1" t="s">
        <v>633</v>
      </c>
      <c r="AJ749" s="1">
        <v>2014</v>
      </c>
      <c r="AK749" s="1" t="s">
        <v>49</v>
      </c>
      <c r="AL749" s="1">
        <v>25</v>
      </c>
    </row>
    <row r="750" spans="1:38" x14ac:dyDescent="0.2">
      <c r="A750" s="2" t="str">
        <f>HYPERLINK("https://www.compass.com/listing/180-6th-avenue-unit-5a-manhattan-ny-10013/803299693148822625/","180 6th Ave, Unit 5A")</f>
        <v>180 6th Ave, Unit 5A</v>
      </c>
      <c r="B750" s="2" t="str">
        <f t="shared" si="113"/>
        <v>One Vandam</v>
      </c>
      <c r="C750" s="1" t="s">
        <v>50</v>
      </c>
      <c r="D750" s="1" t="s">
        <v>41</v>
      </c>
      <c r="E750" s="3">
        <v>3385000</v>
      </c>
      <c r="F750" s="1">
        <v>2174.0526653821398</v>
      </c>
      <c r="G750" s="1">
        <v>4</v>
      </c>
      <c r="H750" s="1">
        <v>2</v>
      </c>
      <c r="I750" s="1">
        <v>3</v>
      </c>
      <c r="J750" s="1">
        <v>0.5</v>
      </c>
      <c r="L750" s="1">
        <v>1</v>
      </c>
      <c r="M750" s="4">
        <v>1557</v>
      </c>
      <c r="N750" s="1">
        <v>2064</v>
      </c>
      <c r="O750" s="1">
        <v>4027</v>
      </c>
      <c r="P750" s="1">
        <v>1963</v>
      </c>
      <c r="Q750" s="1" t="s">
        <v>42</v>
      </c>
      <c r="S750" s="1" t="s">
        <v>42</v>
      </c>
      <c r="T750" s="1" t="s">
        <v>153</v>
      </c>
      <c r="V750" s="5">
        <v>43270</v>
      </c>
      <c r="W750" s="5">
        <v>41575</v>
      </c>
      <c r="X750" s="1">
        <v>3385000</v>
      </c>
      <c r="AB750" s="1" t="s">
        <v>177</v>
      </c>
      <c r="AF750" s="1">
        <v>10013</v>
      </c>
      <c r="AI750" s="1" t="s">
        <v>85</v>
      </c>
      <c r="AJ750" s="1">
        <v>2014</v>
      </c>
      <c r="AK750" s="1" t="s">
        <v>46</v>
      </c>
      <c r="AL750" s="1">
        <v>25</v>
      </c>
    </row>
    <row r="751" spans="1:38" x14ac:dyDescent="0.2">
      <c r="A751" s="2" t="str">
        <f>HYPERLINK("https://www.compass.com/listing/180-6th-avenue-unit-3b-manhattan-ny-10013/29513611625890689/","180 6th Ave, Unit 3B")</f>
        <v>180 6th Ave, Unit 3B</v>
      </c>
      <c r="B751" s="2" t="str">
        <f t="shared" si="113"/>
        <v>One Vandam</v>
      </c>
      <c r="C751" s="1" t="s">
        <v>50</v>
      </c>
      <c r="D751" s="1" t="s">
        <v>41</v>
      </c>
      <c r="E751" s="3">
        <v>1568105</v>
      </c>
      <c r="F751" s="1">
        <v>2127.6865671641699</v>
      </c>
      <c r="G751" s="1">
        <v>3</v>
      </c>
      <c r="H751" s="1">
        <v>1</v>
      </c>
      <c r="I751" s="1">
        <v>1</v>
      </c>
      <c r="M751" s="1">
        <v>737</v>
      </c>
      <c r="N751" s="1">
        <v>967</v>
      </c>
      <c r="O751" s="1">
        <v>1887</v>
      </c>
      <c r="P751" s="1">
        <v>920</v>
      </c>
      <c r="Q751" s="1" t="s">
        <v>42</v>
      </c>
      <c r="S751" s="1" t="s">
        <v>42</v>
      </c>
      <c r="T751" s="1" t="s">
        <v>153</v>
      </c>
      <c r="U751" s="1">
        <v>29</v>
      </c>
      <c r="V751" s="5">
        <v>43694</v>
      </c>
      <c r="W751" s="5">
        <v>41571</v>
      </c>
      <c r="X751" s="1">
        <v>1540000</v>
      </c>
      <c r="Y751" s="1">
        <v>1540000</v>
      </c>
      <c r="Z751" s="5">
        <v>41600</v>
      </c>
      <c r="AA751" s="1">
        <v>1568105</v>
      </c>
      <c r="AB751" s="1" t="s">
        <v>634</v>
      </c>
      <c r="AC751" s="5">
        <v>42450</v>
      </c>
      <c r="AF751" s="1">
        <v>10013</v>
      </c>
      <c r="AI751" s="1" t="s">
        <v>85</v>
      </c>
      <c r="AJ751" s="1">
        <v>2014</v>
      </c>
      <c r="AK751" s="1" t="s">
        <v>46</v>
      </c>
      <c r="AL751" s="1">
        <v>25</v>
      </c>
    </row>
    <row r="752" spans="1:38" x14ac:dyDescent="0.2">
      <c r="A752" s="2" t="str">
        <f>HYPERLINK("https://www.compass.com/listing/160-east-22nd-street-unit-7f-manhattan-ny-10010/192574621042609553/","160 E 22nd St, Unit 7F")</f>
        <v>160 E 22nd St, Unit 7F</v>
      </c>
      <c r="B752" s="2" t="str">
        <f>HYPERLINK("https://www.compass.com/building/160-e-22nd-st-manhattan-ny-10010/292796862321154661/","160 E 22nd St")</f>
        <v>160 E 22nd St</v>
      </c>
      <c r="C752" s="1" t="s">
        <v>54</v>
      </c>
      <c r="D752" s="1" t="s">
        <v>41</v>
      </c>
      <c r="E752" s="3">
        <v>999911</v>
      </c>
      <c r="F752" s="1">
        <v>1818.02</v>
      </c>
      <c r="G752" s="1">
        <v>1</v>
      </c>
      <c r="H752" s="1" t="s">
        <v>94</v>
      </c>
      <c r="I752" s="1">
        <v>1</v>
      </c>
      <c r="J752" s="1">
        <v>1</v>
      </c>
      <c r="M752" s="1">
        <v>550</v>
      </c>
      <c r="N752" s="1">
        <v>523</v>
      </c>
      <c r="O752" s="1">
        <v>718</v>
      </c>
      <c r="P752" s="1">
        <v>195</v>
      </c>
      <c r="Q752" s="1" t="s">
        <v>42</v>
      </c>
      <c r="S752" s="1" t="s">
        <v>42</v>
      </c>
      <c r="T752" s="1" t="s">
        <v>153</v>
      </c>
      <c r="U752" s="1">
        <v>385</v>
      </c>
      <c r="V752" s="5">
        <v>43631</v>
      </c>
      <c r="W752" s="5">
        <v>41521</v>
      </c>
      <c r="X752" s="1">
        <v>985990</v>
      </c>
      <c r="Y752" s="1">
        <v>986990</v>
      </c>
      <c r="AA752" s="1">
        <v>999911</v>
      </c>
      <c r="AB752" s="1" t="s">
        <v>635</v>
      </c>
      <c r="AC752" s="5">
        <v>41907</v>
      </c>
      <c r="AF752" s="1">
        <v>10010</v>
      </c>
      <c r="AI752" s="1" t="s">
        <v>55</v>
      </c>
      <c r="AJ752" s="1">
        <v>2012</v>
      </c>
      <c r="AK752" s="1" t="s">
        <v>49</v>
      </c>
      <c r="AL752" s="1">
        <v>81</v>
      </c>
    </row>
    <row r="753" spans="1:38" x14ac:dyDescent="0.2">
      <c r="A753" s="2" t="str">
        <f>HYPERLINK("https://www.compass.com/listing/246-west-16th-street-unit-6-manhattan-ny-10011/809858830881267329/","246 W 16th St, Unit 6")</f>
        <v>246 W 16th St, Unit 6</v>
      </c>
      <c r="B753" s="2" t="str">
        <f>HYPERLINK("https://www.compass.com/building/246-w-16th-st-manhattan-ny-10011/281907837800567589/","246 W 16th St")</f>
        <v>246 W 16th St</v>
      </c>
      <c r="C753" s="1" t="s">
        <v>73</v>
      </c>
      <c r="D753" s="1" t="s">
        <v>41</v>
      </c>
      <c r="E753" s="3">
        <v>5614125</v>
      </c>
      <c r="Q753" s="1" t="s">
        <v>42</v>
      </c>
      <c r="S753" s="1" t="s">
        <v>42</v>
      </c>
      <c r="T753" s="1" t="s">
        <v>153</v>
      </c>
      <c r="AA753" s="1">
        <v>5614125</v>
      </c>
      <c r="AB753" s="1" t="s">
        <v>636</v>
      </c>
      <c r="AC753" s="5">
        <v>44350</v>
      </c>
      <c r="AF753" s="1">
        <v>10011</v>
      </c>
      <c r="AI753" s="1" t="s">
        <v>66</v>
      </c>
      <c r="AJ753" s="1">
        <v>2019</v>
      </c>
      <c r="AL753" s="1">
        <v>7</v>
      </c>
    </row>
    <row r="754" spans="1:38" x14ac:dyDescent="0.2">
      <c r="A754" s="2" t="str">
        <f>HYPERLINK("https://www.compass.com/listing/10-madison-square-west-unit-4h-manhattan-ny-10010/29374718926721585/","10 Madison Sq W, Unit 4H")</f>
        <v>10 Madison Sq W, Unit 4H</v>
      </c>
      <c r="B754" s="2" t="str">
        <f t="shared" ref="B754:B772" si="114">HYPERLINK("https://www.compass.com/building/10-madison-square-west-manhattan-ny/294838725091521285/","10 Madison Square West")</f>
        <v>10 Madison Square West</v>
      </c>
      <c r="C754" s="1" t="s">
        <v>56</v>
      </c>
      <c r="D754" s="1" t="s">
        <v>41</v>
      </c>
      <c r="E754" s="3">
        <v>1832850</v>
      </c>
      <c r="F754" s="1">
        <v>2052.4636058230599</v>
      </c>
      <c r="M754" s="1">
        <v>893</v>
      </c>
      <c r="Q754" s="1" t="s">
        <v>42</v>
      </c>
      <c r="S754" s="1" t="s">
        <v>42</v>
      </c>
      <c r="T754" s="1" t="s">
        <v>153</v>
      </c>
      <c r="AA754" s="1">
        <v>1832850</v>
      </c>
      <c r="AB754" s="1" t="s">
        <v>637</v>
      </c>
      <c r="AC754" s="5">
        <v>42879</v>
      </c>
      <c r="AF754" s="1">
        <v>10010</v>
      </c>
      <c r="AI754" s="1" t="s">
        <v>45</v>
      </c>
      <c r="AJ754" s="1">
        <v>1915</v>
      </c>
      <c r="AK754" s="1" t="s">
        <v>49</v>
      </c>
      <c r="AL754" s="1">
        <v>125</v>
      </c>
    </row>
    <row r="755" spans="1:38" x14ac:dyDescent="0.2">
      <c r="A755" s="2" t="str">
        <f>HYPERLINK("https://www.compass.com/listing/10-madison-square-west-unit-6a-manhattan-ny-10010/29374723272020641/","10 Madison Sq W, Unit 6A")</f>
        <v>10 Madison Sq W, Unit 6A</v>
      </c>
      <c r="B755" s="2" t="str">
        <f t="shared" si="114"/>
        <v>10 Madison Square West</v>
      </c>
      <c r="C755" s="1" t="s">
        <v>56</v>
      </c>
      <c r="D755" s="1" t="s">
        <v>41</v>
      </c>
      <c r="E755" s="3">
        <v>1883763</v>
      </c>
      <c r="F755" s="1">
        <v>2116.5870786516798</v>
      </c>
      <c r="M755" s="1">
        <v>890</v>
      </c>
      <c r="Q755" s="1" t="s">
        <v>42</v>
      </c>
      <c r="S755" s="1" t="s">
        <v>42</v>
      </c>
      <c r="T755" s="1" t="s">
        <v>153</v>
      </c>
      <c r="AA755" s="1">
        <v>1883762.5</v>
      </c>
      <c r="AB755" s="1" t="s">
        <v>638</v>
      </c>
      <c r="AC755" s="5">
        <v>42403</v>
      </c>
      <c r="AF755" s="1">
        <v>10010</v>
      </c>
      <c r="AI755" s="1" t="s">
        <v>45</v>
      </c>
      <c r="AJ755" s="1">
        <v>1915</v>
      </c>
      <c r="AK755" s="1" t="s">
        <v>49</v>
      </c>
      <c r="AL755" s="1">
        <v>125</v>
      </c>
    </row>
    <row r="756" spans="1:38" x14ac:dyDescent="0.2">
      <c r="A756" s="2" t="str">
        <f>HYPERLINK("https://www.compass.com/listing/10-madison-square-west-unit-8a-manhattan-ny-10010/29374728733004561/","10 Madison Sq W, Unit 8A")</f>
        <v>10 Madison Sq W, Unit 8A</v>
      </c>
      <c r="B756" s="2" t="str">
        <f t="shared" si="114"/>
        <v>10 Madison Square West</v>
      </c>
      <c r="C756" s="1" t="s">
        <v>56</v>
      </c>
      <c r="D756" s="1" t="s">
        <v>41</v>
      </c>
      <c r="E756" s="3">
        <v>1957475</v>
      </c>
      <c r="F756" s="1">
        <v>2199.4101123595501</v>
      </c>
      <c r="M756" s="1">
        <v>890</v>
      </c>
      <c r="Q756" s="1" t="s">
        <v>42</v>
      </c>
      <c r="S756" s="1" t="s">
        <v>42</v>
      </c>
      <c r="T756" s="1" t="s">
        <v>153</v>
      </c>
      <c r="AA756" s="1">
        <v>1957475</v>
      </c>
      <c r="AB756" s="1" t="s">
        <v>639</v>
      </c>
      <c r="AC756" s="5">
        <v>42634</v>
      </c>
      <c r="AF756" s="1">
        <v>10010</v>
      </c>
      <c r="AI756" s="1" t="s">
        <v>45</v>
      </c>
      <c r="AJ756" s="1">
        <v>1915</v>
      </c>
      <c r="AK756" s="1" t="s">
        <v>49</v>
      </c>
      <c r="AL756" s="1">
        <v>125</v>
      </c>
    </row>
    <row r="757" spans="1:38" x14ac:dyDescent="0.2">
      <c r="A757" s="2" t="str">
        <f>HYPERLINK("https://www.compass.com/listing/10-madison-square-west-unit-9g-manhattan-ny-10010/29374733388738465/","10 Madison Sq W, Unit 9G")</f>
        <v>10 Madison Sq W, Unit 9G</v>
      </c>
      <c r="B757" s="2" t="str">
        <f t="shared" si="114"/>
        <v>10 Madison Square West</v>
      </c>
      <c r="C757" s="1" t="s">
        <v>56</v>
      </c>
      <c r="D757" s="1" t="s">
        <v>41</v>
      </c>
      <c r="E757" s="3">
        <v>1731025</v>
      </c>
      <c r="F757" s="1">
        <v>1651.74141221374</v>
      </c>
      <c r="M757" s="4">
        <v>1048</v>
      </c>
      <c r="Q757" s="1" t="s">
        <v>42</v>
      </c>
      <c r="S757" s="1" t="s">
        <v>42</v>
      </c>
      <c r="T757" s="1" t="s">
        <v>153</v>
      </c>
      <c r="AA757" s="1">
        <v>1731025</v>
      </c>
      <c r="AB757" s="1" t="s">
        <v>640</v>
      </c>
      <c r="AC757" s="5">
        <v>42626</v>
      </c>
      <c r="AF757" s="1">
        <v>10010</v>
      </c>
      <c r="AI757" s="1" t="s">
        <v>45</v>
      </c>
      <c r="AJ757" s="1">
        <v>1915</v>
      </c>
      <c r="AK757" s="1" t="s">
        <v>49</v>
      </c>
      <c r="AL757" s="1">
        <v>125</v>
      </c>
    </row>
    <row r="758" spans="1:38" x14ac:dyDescent="0.2">
      <c r="A758" s="2" t="str">
        <f>HYPERLINK("https://www.compass.com/listing/10-madison-square-west-unit-10g-manhattan-ny-10010/29374735443947457/","10 Madison Sq W, Unit 10G")</f>
        <v>10 Madison Sq W, Unit 10G</v>
      </c>
      <c r="B758" s="2" t="str">
        <f t="shared" si="114"/>
        <v>10 Madison Square West</v>
      </c>
      <c r="C758" s="1" t="s">
        <v>56</v>
      </c>
      <c r="D758" s="1" t="s">
        <v>41</v>
      </c>
      <c r="E758" s="3">
        <v>2036500</v>
      </c>
      <c r="F758" s="1">
        <v>1943.22519083969</v>
      </c>
      <c r="M758" s="4">
        <v>1048</v>
      </c>
      <c r="Q758" s="1" t="s">
        <v>42</v>
      </c>
      <c r="S758" s="1" t="s">
        <v>42</v>
      </c>
      <c r="T758" s="1" t="s">
        <v>153</v>
      </c>
      <c r="AA758" s="1">
        <v>2036500</v>
      </c>
      <c r="AB758" s="1" t="s">
        <v>641</v>
      </c>
      <c r="AC758" s="5">
        <v>42607</v>
      </c>
      <c r="AF758" s="1">
        <v>10010</v>
      </c>
      <c r="AI758" s="1" t="s">
        <v>45</v>
      </c>
      <c r="AJ758" s="1">
        <v>1915</v>
      </c>
      <c r="AK758" s="1" t="s">
        <v>49</v>
      </c>
      <c r="AL758" s="1">
        <v>125</v>
      </c>
    </row>
    <row r="759" spans="1:38" x14ac:dyDescent="0.2">
      <c r="A759" s="2" t="str">
        <f>HYPERLINK("https://www.compass.com/listing/10-madison-square-west-unit-12b-manhattan-ny-10010/29374738388347761/","10 Madison Sq W, Unit 12B")</f>
        <v>10 Madison Sq W, Unit 12B</v>
      </c>
      <c r="B759" s="2" t="str">
        <f t="shared" si="114"/>
        <v>10 Madison Square West</v>
      </c>
      <c r="C759" s="1" t="s">
        <v>56</v>
      </c>
      <c r="D759" s="1" t="s">
        <v>41</v>
      </c>
      <c r="E759" s="3">
        <v>1858306</v>
      </c>
      <c r="F759" s="1">
        <v>1811.2146686159799</v>
      </c>
      <c r="M759" s="4">
        <v>1026</v>
      </c>
      <c r="Q759" s="1" t="s">
        <v>42</v>
      </c>
      <c r="S759" s="1" t="s">
        <v>42</v>
      </c>
      <c r="T759" s="1" t="s">
        <v>153</v>
      </c>
      <c r="AA759" s="1">
        <v>1858306.25</v>
      </c>
      <c r="AB759" s="1" t="s">
        <v>642</v>
      </c>
      <c r="AC759" s="5">
        <v>42486</v>
      </c>
      <c r="AF759" s="1">
        <v>10010</v>
      </c>
      <c r="AI759" s="1" t="s">
        <v>45</v>
      </c>
      <c r="AJ759" s="1">
        <v>1915</v>
      </c>
      <c r="AK759" s="1" t="s">
        <v>49</v>
      </c>
      <c r="AL759" s="1">
        <v>125</v>
      </c>
    </row>
    <row r="760" spans="1:38" x14ac:dyDescent="0.2">
      <c r="A760" s="2" t="str">
        <f>HYPERLINK("https://www.compass.com/listing/10-madison-square-west-unit-15g-manhattan-ny-10010/29374746844066001/","10 Madison Sq W, Unit 15G")</f>
        <v>10 Madison Sq W, Unit 15G</v>
      </c>
      <c r="B760" s="2" t="str">
        <f t="shared" si="114"/>
        <v>10 Madison Square West</v>
      </c>
      <c r="C760" s="1" t="s">
        <v>56</v>
      </c>
      <c r="D760" s="1" t="s">
        <v>41</v>
      </c>
      <c r="E760" s="3">
        <v>1858306</v>
      </c>
      <c r="F760" s="1">
        <v>1773.1929866412199</v>
      </c>
      <c r="M760" s="4">
        <v>1048</v>
      </c>
      <c r="Q760" s="1" t="s">
        <v>42</v>
      </c>
      <c r="S760" s="1" t="s">
        <v>42</v>
      </c>
      <c r="T760" s="1" t="s">
        <v>153</v>
      </c>
      <c r="AA760" s="1">
        <v>1858306.25</v>
      </c>
      <c r="AB760" s="1" t="s">
        <v>643</v>
      </c>
      <c r="AC760" s="5">
        <v>42702</v>
      </c>
      <c r="AF760" s="1">
        <v>10010</v>
      </c>
      <c r="AI760" s="1" t="s">
        <v>45</v>
      </c>
      <c r="AJ760" s="1">
        <v>1915</v>
      </c>
      <c r="AK760" s="1" t="s">
        <v>49</v>
      </c>
      <c r="AL760" s="1">
        <v>125</v>
      </c>
    </row>
    <row r="761" spans="1:38" x14ac:dyDescent="0.2">
      <c r="A761" s="2" t="str">
        <f>HYPERLINK("https://www.compass.com/listing/10-madison-square-west-unit-16b-manhattan-ny-10010/29374747481598993/","10 Madison Sq W, Unit 16B")</f>
        <v>10 Madison Sq W, Unit 16B</v>
      </c>
      <c r="B761" s="2" t="str">
        <f t="shared" si="114"/>
        <v>10 Madison Square West</v>
      </c>
      <c r="C761" s="1" t="s">
        <v>56</v>
      </c>
      <c r="D761" s="1" t="s">
        <v>41</v>
      </c>
      <c r="E761" s="3">
        <v>2138325</v>
      </c>
      <c r="F761" s="1">
        <v>2084.1374269005801</v>
      </c>
      <c r="M761" s="4">
        <v>1026</v>
      </c>
      <c r="Q761" s="1" t="s">
        <v>42</v>
      </c>
      <c r="S761" s="1" t="s">
        <v>42</v>
      </c>
      <c r="T761" s="1" t="s">
        <v>153</v>
      </c>
      <c r="AA761" s="1">
        <v>2138325</v>
      </c>
      <c r="AB761" s="1" t="s">
        <v>644</v>
      </c>
      <c r="AC761" s="5">
        <v>42523</v>
      </c>
      <c r="AF761" s="1">
        <v>10010</v>
      </c>
      <c r="AI761" s="1" t="s">
        <v>45</v>
      </c>
      <c r="AJ761" s="1">
        <v>1915</v>
      </c>
      <c r="AK761" s="1" t="s">
        <v>49</v>
      </c>
      <c r="AL761" s="1">
        <v>125</v>
      </c>
    </row>
    <row r="762" spans="1:38" x14ac:dyDescent="0.2">
      <c r="A762" s="2" t="str">
        <f>HYPERLINK("https://www.compass.com/listing/10-madison-square-west-unit-16g-manhattan-ny-10010/29374749276705969/","10 Madison Sq W, Unit 16G")</f>
        <v>10 Madison Sq W, Unit 16G</v>
      </c>
      <c r="B762" s="2" t="str">
        <f t="shared" si="114"/>
        <v>10 Madison Square West</v>
      </c>
      <c r="C762" s="1" t="s">
        <v>56</v>
      </c>
      <c r="D762" s="1" t="s">
        <v>41</v>
      </c>
      <c r="E762" s="3">
        <v>1883763</v>
      </c>
      <c r="F762" s="1">
        <v>1797.48330152671</v>
      </c>
      <c r="M762" s="4">
        <v>1048</v>
      </c>
      <c r="Q762" s="1" t="s">
        <v>42</v>
      </c>
      <c r="S762" s="1" t="s">
        <v>42</v>
      </c>
      <c r="T762" s="1" t="s">
        <v>153</v>
      </c>
      <c r="AA762" s="1">
        <v>1883762.5</v>
      </c>
      <c r="AB762" s="1" t="s">
        <v>645</v>
      </c>
      <c r="AC762" s="5">
        <v>42725</v>
      </c>
      <c r="AF762" s="1">
        <v>10010</v>
      </c>
      <c r="AI762" s="1" t="s">
        <v>45</v>
      </c>
      <c r="AJ762" s="1">
        <v>1915</v>
      </c>
      <c r="AK762" s="1" t="s">
        <v>49</v>
      </c>
      <c r="AL762" s="1">
        <v>125</v>
      </c>
    </row>
    <row r="763" spans="1:38" x14ac:dyDescent="0.2">
      <c r="A763" s="2" t="str">
        <f>HYPERLINK("https://www.compass.com/listing/10-madison-square-west-unit-17g-manhattan-ny-10010/29374751633960017/","10 Madison Sq W, Unit 17G")</f>
        <v>10 Madison Sq W, Unit 17G</v>
      </c>
      <c r="B763" s="2" t="str">
        <f t="shared" si="114"/>
        <v>10 Madison Square West</v>
      </c>
      <c r="C763" s="1" t="s">
        <v>56</v>
      </c>
      <c r="D763" s="1" t="s">
        <v>41</v>
      </c>
      <c r="E763" s="3">
        <v>2138325</v>
      </c>
      <c r="F763" s="1">
        <v>2040.3864503816701</v>
      </c>
      <c r="M763" s="4">
        <v>1048</v>
      </c>
      <c r="Q763" s="1" t="s">
        <v>42</v>
      </c>
      <c r="S763" s="1" t="s">
        <v>42</v>
      </c>
      <c r="T763" s="1" t="s">
        <v>153</v>
      </c>
      <c r="AA763" s="1">
        <v>2138325</v>
      </c>
      <c r="AB763" s="1" t="s">
        <v>646</v>
      </c>
      <c r="AC763" s="5">
        <v>42950</v>
      </c>
      <c r="AF763" s="1">
        <v>10010</v>
      </c>
      <c r="AI763" s="1" t="s">
        <v>45</v>
      </c>
      <c r="AJ763" s="1">
        <v>1915</v>
      </c>
      <c r="AK763" s="1" t="s">
        <v>49</v>
      </c>
      <c r="AL763" s="1">
        <v>125</v>
      </c>
    </row>
    <row r="764" spans="1:38" x14ac:dyDescent="0.2">
      <c r="A764" s="2" t="str">
        <f>HYPERLINK("https://www.compass.com/listing/10-madison-square-west-unit-3a-manhattan-ny-10010/29374714036218193/","10 Madison Sq W, Unit 3A")</f>
        <v>10 Madison Sq W, Unit 3A</v>
      </c>
      <c r="B764" s="2" t="str">
        <f t="shared" si="114"/>
        <v>10 Madison Square West</v>
      </c>
      <c r="C764" s="1" t="s">
        <v>56</v>
      </c>
      <c r="D764" s="1" t="s">
        <v>41</v>
      </c>
      <c r="E764" s="3">
        <v>1374638</v>
      </c>
      <c r="F764" s="1">
        <v>1544.5365168539299</v>
      </c>
      <c r="M764" s="1">
        <v>890</v>
      </c>
      <c r="Q764" s="1" t="s">
        <v>42</v>
      </c>
      <c r="S764" s="1" t="s">
        <v>42</v>
      </c>
      <c r="T764" s="1" t="s">
        <v>153</v>
      </c>
      <c r="AA764" s="1">
        <v>1374637.5</v>
      </c>
      <c r="AB764" s="1" t="s">
        <v>647</v>
      </c>
      <c r="AC764" s="5">
        <v>42870</v>
      </c>
      <c r="AF764" s="1">
        <v>10010</v>
      </c>
      <c r="AI764" s="1" t="s">
        <v>45</v>
      </c>
      <c r="AJ764" s="1">
        <v>1915</v>
      </c>
      <c r="AK764" s="1" t="s">
        <v>49</v>
      </c>
      <c r="AL764" s="1">
        <v>125</v>
      </c>
    </row>
    <row r="765" spans="1:38" x14ac:dyDescent="0.2">
      <c r="A765" s="2" t="str">
        <f>HYPERLINK("https://www.compass.com/listing/10-madison-square-west-unit-4a-manhattan-ny-10010/29374716762460689/","10 Madison Sq W, Unit 4A")</f>
        <v>10 Madison Sq W, Unit 4A</v>
      </c>
      <c r="B765" s="2" t="str">
        <f t="shared" si="114"/>
        <v>10 Madison Square West</v>
      </c>
      <c r="C765" s="1" t="s">
        <v>56</v>
      </c>
      <c r="D765" s="1" t="s">
        <v>41</v>
      </c>
      <c r="E765" s="3">
        <v>1389911</v>
      </c>
      <c r="F765" s="1">
        <v>1561.6980337078601</v>
      </c>
      <c r="M765" s="1">
        <v>890</v>
      </c>
      <c r="Q765" s="1" t="s">
        <v>42</v>
      </c>
      <c r="S765" s="1" t="s">
        <v>42</v>
      </c>
      <c r="T765" s="1" t="s">
        <v>153</v>
      </c>
      <c r="AA765" s="1">
        <v>1389911.25</v>
      </c>
      <c r="AB765" s="1" t="s">
        <v>648</v>
      </c>
      <c r="AC765" s="5">
        <v>42692</v>
      </c>
      <c r="AF765" s="1">
        <v>10010</v>
      </c>
      <c r="AI765" s="1" t="s">
        <v>45</v>
      </c>
      <c r="AJ765" s="1">
        <v>1915</v>
      </c>
      <c r="AK765" s="1" t="s">
        <v>49</v>
      </c>
      <c r="AL765" s="1">
        <v>125</v>
      </c>
    </row>
    <row r="766" spans="1:38" x14ac:dyDescent="0.2">
      <c r="A766" s="2" t="str">
        <f>HYPERLINK("https://www.compass.com/listing/10-madison-square-west-unit-5h-manhattan-ny-10010/29374722928144097/","10 Madison Sq W, Unit 5H")</f>
        <v>10 Madison Sq W, Unit 5H</v>
      </c>
      <c r="B766" s="2" t="str">
        <f t="shared" si="114"/>
        <v>10 Madison Square West</v>
      </c>
      <c r="C766" s="1" t="s">
        <v>56</v>
      </c>
      <c r="D766" s="1" t="s">
        <v>41</v>
      </c>
      <c r="E766" s="3">
        <v>1527375</v>
      </c>
      <c r="F766" s="1">
        <v>1710.3863381858901</v>
      </c>
      <c r="M766" s="1">
        <v>893</v>
      </c>
      <c r="Q766" s="1" t="s">
        <v>42</v>
      </c>
      <c r="S766" s="1" t="s">
        <v>42</v>
      </c>
      <c r="T766" s="1" t="s">
        <v>153</v>
      </c>
      <c r="AA766" s="1">
        <v>1527375</v>
      </c>
      <c r="AB766" s="1" t="s">
        <v>649</v>
      </c>
      <c r="AC766" s="5">
        <v>42503</v>
      </c>
      <c r="AF766" s="1">
        <v>10010</v>
      </c>
      <c r="AI766" s="1" t="s">
        <v>45</v>
      </c>
      <c r="AJ766" s="1">
        <v>1915</v>
      </c>
      <c r="AK766" s="1" t="s">
        <v>49</v>
      </c>
      <c r="AL766" s="1">
        <v>125</v>
      </c>
    </row>
    <row r="767" spans="1:38" x14ac:dyDescent="0.2">
      <c r="A767" s="2" t="str">
        <f>HYPERLINK("https://www.compass.com/listing/10-madison-square-west-unit-6h-manhattan-ny-10010/29374726065483553/","10 Madison Sq W, Unit 6H")</f>
        <v>10 Madison Sq W, Unit 6H</v>
      </c>
      <c r="B767" s="2" t="str">
        <f t="shared" si="114"/>
        <v>10 Madison Square West</v>
      </c>
      <c r="C767" s="1" t="s">
        <v>56</v>
      </c>
      <c r="D767" s="1" t="s">
        <v>41</v>
      </c>
      <c r="E767" s="3">
        <v>1509316</v>
      </c>
      <c r="F767" s="1">
        <v>1690.1637737961901</v>
      </c>
      <c r="M767" s="1">
        <v>893</v>
      </c>
      <c r="Q767" s="1" t="s">
        <v>42</v>
      </c>
      <c r="S767" s="1" t="s">
        <v>42</v>
      </c>
      <c r="T767" s="1" t="s">
        <v>153</v>
      </c>
      <c r="AA767" s="1">
        <v>1509316.25</v>
      </c>
      <c r="AB767" s="1" t="s">
        <v>650</v>
      </c>
      <c r="AC767" s="5">
        <v>42573</v>
      </c>
      <c r="AF767" s="1">
        <v>10010</v>
      </c>
      <c r="AI767" s="1" t="s">
        <v>45</v>
      </c>
      <c r="AJ767" s="1">
        <v>1915</v>
      </c>
      <c r="AK767" s="1" t="s">
        <v>49</v>
      </c>
      <c r="AL767" s="1">
        <v>125</v>
      </c>
    </row>
    <row r="768" spans="1:38" x14ac:dyDescent="0.2">
      <c r="A768" s="2" t="str">
        <f>HYPERLINK("https://www.compass.com/listing/10-madison-square-west-unit-7h-manhattan-ny-10010/29374728363962177/","10 Madison Sq W, Unit 7H")</f>
        <v>10 Madison Sq W, Unit 7H</v>
      </c>
      <c r="B768" s="2" t="str">
        <f t="shared" si="114"/>
        <v>10 Madison Square West</v>
      </c>
      <c r="C768" s="1" t="s">
        <v>56</v>
      </c>
      <c r="D768" s="1" t="s">
        <v>41</v>
      </c>
      <c r="E768" s="3">
        <v>1400094</v>
      </c>
      <c r="F768" s="1">
        <v>1567.8541433370599</v>
      </c>
      <c r="M768" s="1">
        <v>893</v>
      </c>
      <c r="Q768" s="1" t="s">
        <v>42</v>
      </c>
      <c r="S768" s="1" t="s">
        <v>42</v>
      </c>
      <c r="T768" s="1" t="s">
        <v>153</v>
      </c>
      <c r="AA768" s="1">
        <v>1400093.75</v>
      </c>
      <c r="AB768" s="1" t="s">
        <v>651</v>
      </c>
      <c r="AC768" s="5">
        <v>42549</v>
      </c>
      <c r="AF768" s="1">
        <v>10010</v>
      </c>
      <c r="AI768" s="1" t="s">
        <v>45</v>
      </c>
      <c r="AJ768" s="1">
        <v>1915</v>
      </c>
      <c r="AK768" s="1" t="s">
        <v>49</v>
      </c>
      <c r="AL768" s="1">
        <v>125</v>
      </c>
    </row>
    <row r="769" spans="1:38" x14ac:dyDescent="0.2">
      <c r="A769" s="2" t="str">
        <f>HYPERLINK("https://www.compass.com/listing/10-madison-square-west-unit-8h-manhattan-ny-10010/29374730712716081/","10 Madison Sq W, Unit 8H")</f>
        <v>10 Madison Sq W, Unit 8H</v>
      </c>
      <c r="B769" s="2" t="str">
        <f t="shared" si="114"/>
        <v>10 Madison Square West</v>
      </c>
      <c r="C769" s="1" t="s">
        <v>56</v>
      </c>
      <c r="D769" s="1" t="s">
        <v>41</v>
      </c>
      <c r="E769" s="3">
        <v>1632946</v>
      </c>
      <c r="F769" s="1">
        <v>1828.60722284434</v>
      </c>
      <c r="M769" s="1">
        <v>893</v>
      </c>
      <c r="Q769" s="1" t="s">
        <v>42</v>
      </c>
      <c r="S769" s="1" t="s">
        <v>42</v>
      </c>
      <c r="T769" s="1" t="s">
        <v>153</v>
      </c>
      <c r="AA769" s="1">
        <v>1632946.25</v>
      </c>
      <c r="AB769" s="1" t="s">
        <v>652</v>
      </c>
      <c r="AC769" s="5">
        <v>42592</v>
      </c>
      <c r="AF769" s="1">
        <v>10010</v>
      </c>
      <c r="AI769" s="1" t="s">
        <v>45</v>
      </c>
      <c r="AJ769" s="1">
        <v>1915</v>
      </c>
      <c r="AK769" s="1" t="s">
        <v>49</v>
      </c>
      <c r="AL769" s="1">
        <v>125</v>
      </c>
    </row>
    <row r="770" spans="1:38" x14ac:dyDescent="0.2">
      <c r="A770" s="2" t="str">
        <f>HYPERLINK("https://www.compass.com/listing/10-madison-square-west-unit-9b-manhattan-ny-10010/29374731685794625/","10 Madison Sq W, Unit 9B")</f>
        <v>10 Madison Sq W, Unit 9B</v>
      </c>
      <c r="B770" s="2" t="str">
        <f t="shared" si="114"/>
        <v>10 Madison Square West</v>
      </c>
      <c r="C770" s="1" t="s">
        <v>56</v>
      </c>
      <c r="D770" s="1" t="s">
        <v>41</v>
      </c>
      <c r="E770" s="3">
        <v>1405185</v>
      </c>
      <c r="F770" s="1">
        <v>1369.5760233918099</v>
      </c>
      <c r="M770" s="4">
        <v>1026</v>
      </c>
      <c r="Q770" s="1" t="s">
        <v>42</v>
      </c>
      <c r="S770" s="1" t="s">
        <v>42</v>
      </c>
      <c r="T770" s="1" t="s">
        <v>153</v>
      </c>
      <c r="AA770" s="1">
        <v>1405185</v>
      </c>
      <c r="AB770" s="1" t="s">
        <v>653</v>
      </c>
      <c r="AC770" s="5">
        <v>42725</v>
      </c>
      <c r="AF770" s="1">
        <v>10010</v>
      </c>
      <c r="AI770" s="1" t="s">
        <v>45</v>
      </c>
      <c r="AJ770" s="1">
        <v>1915</v>
      </c>
      <c r="AK770" s="1" t="s">
        <v>49</v>
      </c>
      <c r="AL770" s="1">
        <v>125</v>
      </c>
    </row>
    <row r="771" spans="1:38" x14ac:dyDescent="0.2">
      <c r="A771" s="2" t="str">
        <f>HYPERLINK("https://www.compass.com/listing/10-madison-square-west-unit-10b-manhattan-ny-10010/29374734026271505/","10 Madison Sq W, Unit 10B")</f>
        <v>10 Madison Sq W, Unit 10B</v>
      </c>
      <c r="B771" s="2" t="str">
        <f t="shared" si="114"/>
        <v>10 Madison Square West</v>
      </c>
      <c r="C771" s="1" t="s">
        <v>56</v>
      </c>
      <c r="D771" s="1" t="s">
        <v>41</v>
      </c>
      <c r="E771" s="3">
        <v>1459661</v>
      </c>
      <c r="F771" s="1">
        <v>1422.6719103313801</v>
      </c>
      <c r="M771" s="4">
        <v>1026</v>
      </c>
      <c r="Q771" s="1" t="s">
        <v>42</v>
      </c>
      <c r="S771" s="1" t="s">
        <v>42</v>
      </c>
      <c r="T771" s="1" t="s">
        <v>153</v>
      </c>
      <c r="AA771" s="1">
        <v>1459661.38</v>
      </c>
      <c r="AB771" s="1" t="s">
        <v>654</v>
      </c>
      <c r="AC771" s="5">
        <v>42478</v>
      </c>
      <c r="AF771" s="1">
        <v>10010</v>
      </c>
      <c r="AI771" s="1" t="s">
        <v>45</v>
      </c>
      <c r="AJ771" s="1">
        <v>1915</v>
      </c>
      <c r="AK771" s="1" t="s">
        <v>49</v>
      </c>
      <c r="AL771" s="1">
        <v>125</v>
      </c>
    </row>
    <row r="772" spans="1:38" x14ac:dyDescent="0.2">
      <c r="A772" s="2" t="str">
        <f>HYPERLINK("https://www.compass.com/listing/10-madison-square-west-unit-17b-manhattan-ny-10010/29374749922685185/","10 Madison Sq W, Unit 17B")</f>
        <v>10 Madison Sq W, Unit 17B</v>
      </c>
      <c r="B772" s="2" t="str">
        <f t="shared" si="114"/>
        <v>10 Madison Square West</v>
      </c>
      <c r="C772" s="1" t="s">
        <v>56</v>
      </c>
      <c r="D772" s="1" t="s">
        <v>41</v>
      </c>
      <c r="E772" s="3">
        <v>1603235</v>
      </c>
      <c r="F772" s="1">
        <v>1562.60685185185</v>
      </c>
      <c r="M772" s="4">
        <v>1026</v>
      </c>
      <c r="Q772" s="1" t="s">
        <v>42</v>
      </c>
      <c r="S772" s="1" t="s">
        <v>42</v>
      </c>
      <c r="T772" s="1" t="s">
        <v>153</v>
      </c>
      <c r="AA772" s="1">
        <v>1603234.63</v>
      </c>
      <c r="AB772" s="1" t="s">
        <v>655</v>
      </c>
      <c r="AC772" s="5">
        <v>42633</v>
      </c>
      <c r="AF772" s="1">
        <v>10010</v>
      </c>
      <c r="AI772" s="1" t="s">
        <v>45</v>
      </c>
      <c r="AJ772" s="1">
        <v>1915</v>
      </c>
      <c r="AK772" s="1" t="s">
        <v>49</v>
      </c>
      <c r="AL772" s="1">
        <v>125</v>
      </c>
    </row>
    <row r="773" spans="1:38" x14ac:dyDescent="0.2">
      <c r="A773" s="2" t="str">
        <f>HYPERLINK("https://www.compass.com/listing/180-6th-avenue-unit-4a-manhattan-ny-10013/13087394379177873/","180 6th Ave, Unit 4A")</f>
        <v>180 6th Ave, Unit 4A</v>
      </c>
      <c r="B773" s="2" t="str">
        <f t="shared" ref="B773:B774" si="115">HYPERLINK("https://www.compass.com/building/one-vandam-manhattan-ny/307436879024291493/","One Vandam")</f>
        <v>One Vandam</v>
      </c>
      <c r="C773" s="1" t="s">
        <v>50</v>
      </c>
      <c r="D773" s="1" t="s">
        <v>41</v>
      </c>
      <c r="E773" s="3">
        <v>3390772</v>
      </c>
      <c r="F773" s="1">
        <v>2177.7597944765498</v>
      </c>
      <c r="G773" s="1">
        <v>4.5</v>
      </c>
      <c r="H773" s="1">
        <v>2</v>
      </c>
      <c r="I773" s="1">
        <v>3</v>
      </c>
      <c r="J773" s="1">
        <v>2.5</v>
      </c>
      <c r="M773" s="4">
        <v>1557</v>
      </c>
      <c r="N773" s="1">
        <v>2055</v>
      </c>
      <c r="O773" s="1">
        <v>4008</v>
      </c>
      <c r="P773" s="1">
        <v>1953</v>
      </c>
      <c r="Q773" s="1" t="s">
        <v>42</v>
      </c>
      <c r="S773" s="1" t="s">
        <v>42</v>
      </c>
      <c r="T773" s="1" t="s">
        <v>153</v>
      </c>
      <c r="U773" s="1">
        <v>135</v>
      </c>
      <c r="V773" s="5">
        <v>43637</v>
      </c>
      <c r="W773" s="5">
        <v>41591</v>
      </c>
      <c r="X773" s="1">
        <v>3330000</v>
      </c>
      <c r="Y773" s="1">
        <v>3330000</v>
      </c>
      <c r="Z773" s="5">
        <v>41726</v>
      </c>
      <c r="AA773" s="1">
        <v>3390772</v>
      </c>
      <c r="AB773" s="1" t="s">
        <v>656</v>
      </c>
      <c r="AC773" s="5">
        <v>42440</v>
      </c>
      <c r="AF773" s="1">
        <v>10013</v>
      </c>
      <c r="AI773" s="1" t="s">
        <v>633</v>
      </c>
      <c r="AJ773" s="1">
        <v>2014</v>
      </c>
      <c r="AK773" s="1" t="s">
        <v>49</v>
      </c>
      <c r="AL773" s="1">
        <v>25</v>
      </c>
    </row>
    <row r="774" spans="1:38" x14ac:dyDescent="0.2">
      <c r="A774" s="2" t="str">
        <f>HYPERLINK("https://www.compass.com/listing/180-6th-avenue-unit-phb-manhattan-ny-10013/644209507290400001/","180 6th Ave, Unit PHB")</f>
        <v>180 6th Ave, Unit PHB</v>
      </c>
      <c r="B774" s="2" t="str">
        <f t="shared" si="115"/>
        <v>One Vandam</v>
      </c>
      <c r="C774" s="1" t="s">
        <v>50</v>
      </c>
      <c r="D774" s="1" t="s">
        <v>41</v>
      </c>
      <c r="E774" s="3">
        <v>8850000</v>
      </c>
      <c r="F774" s="1">
        <v>2602.9411764705801</v>
      </c>
      <c r="G774" s="1">
        <v>6</v>
      </c>
      <c r="H774" s="1">
        <v>4</v>
      </c>
      <c r="I774" s="1">
        <v>5</v>
      </c>
      <c r="J774" s="1">
        <v>4.5</v>
      </c>
      <c r="K774" s="1">
        <v>4</v>
      </c>
      <c r="L774" s="1">
        <v>1</v>
      </c>
      <c r="M774" s="4">
        <v>3400</v>
      </c>
      <c r="N774" s="1">
        <v>5071</v>
      </c>
      <c r="O774" s="1">
        <v>15356</v>
      </c>
      <c r="P774" s="1">
        <v>10285</v>
      </c>
      <c r="Q774" s="1" t="s">
        <v>42</v>
      </c>
      <c r="S774" s="1" t="s">
        <v>42</v>
      </c>
      <c r="T774" s="1" t="s">
        <v>153</v>
      </c>
      <c r="U774" s="1">
        <v>30</v>
      </c>
      <c r="V774" s="5">
        <v>44220</v>
      </c>
      <c r="W774" s="5">
        <v>44139</v>
      </c>
      <c r="X774" s="1">
        <v>10000000</v>
      </c>
      <c r="Y774" s="1">
        <v>10000000</v>
      </c>
      <c r="Z774" s="5">
        <v>44170</v>
      </c>
      <c r="AA774" s="1">
        <v>8850000</v>
      </c>
      <c r="AB774" s="1" t="s">
        <v>657</v>
      </c>
      <c r="AC774" s="5">
        <v>44216</v>
      </c>
      <c r="AF774" s="1">
        <v>10013</v>
      </c>
      <c r="AI774" s="1" t="s">
        <v>658</v>
      </c>
      <c r="AJ774" s="1">
        <v>2014</v>
      </c>
      <c r="AK774" s="1" t="s">
        <v>49</v>
      </c>
      <c r="AL774" s="1">
        <v>25</v>
      </c>
    </row>
    <row r="775" spans="1:38" x14ac:dyDescent="0.2">
      <c r="A775" s="2" t="str">
        <f>HYPERLINK("https://www.compass.com/listing/10-madison-square-west-unit-2a-manhattan-ny-10010/29374710563334401/","10 Madison Sq W, Unit 2A")</f>
        <v>10 Madison Sq W, Unit 2A</v>
      </c>
      <c r="B775" s="2" t="str">
        <f t="shared" ref="B775:B777" si="116">HYPERLINK("https://www.compass.com/building/10-madison-square-west-manhattan-ny/294838725091521285/","10 Madison Square West")</f>
        <v>10 Madison Square West</v>
      </c>
      <c r="C775" s="1" t="s">
        <v>56</v>
      </c>
      <c r="D775" s="1" t="s">
        <v>41</v>
      </c>
      <c r="E775" s="3">
        <v>2698363</v>
      </c>
      <c r="F775" s="1">
        <v>1697.0833333333301</v>
      </c>
      <c r="M775" s="4">
        <v>1590</v>
      </c>
      <c r="Q775" s="1" t="s">
        <v>42</v>
      </c>
      <c r="S775" s="1" t="s">
        <v>42</v>
      </c>
      <c r="T775" s="1" t="s">
        <v>153</v>
      </c>
      <c r="AA775" s="1">
        <v>2698362.5</v>
      </c>
      <c r="AB775" s="1" t="s">
        <v>659</v>
      </c>
      <c r="AC775" s="5">
        <v>43055</v>
      </c>
      <c r="AF775" s="1">
        <v>10010</v>
      </c>
      <c r="AI775" s="1" t="s">
        <v>45</v>
      </c>
      <c r="AJ775" s="1">
        <v>1915</v>
      </c>
      <c r="AK775" s="1" t="s">
        <v>49</v>
      </c>
      <c r="AL775" s="1">
        <v>125</v>
      </c>
    </row>
    <row r="776" spans="1:38" x14ac:dyDescent="0.2">
      <c r="A776" s="2" t="str">
        <f>HYPERLINK("https://www.compass.com/listing/10-madison-square-west-unit-3c-manhattan-ny-10010/29374714724028897/","10 Madison Sq W, Unit 3C")</f>
        <v>10 Madison Sq W, Unit 3C</v>
      </c>
      <c r="B776" s="2" t="str">
        <f t="shared" si="116"/>
        <v>10 Madison Square West</v>
      </c>
      <c r="C776" s="1" t="s">
        <v>56</v>
      </c>
      <c r="D776" s="1" t="s">
        <v>41</v>
      </c>
      <c r="E776" s="3">
        <v>2749275</v>
      </c>
      <c r="F776" s="1">
        <v>1918.5450104675499</v>
      </c>
      <c r="M776" s="4">
        <v>1433</v>
      </c>
      <c r="Q776" s="1" t="s">
        <v>42</v>
      </c>
      <c r="S776" s="1" t="s">
        <v>42</v>
      </c>
      <c r="T776" s="1" t="s">
        <v>153</v>
      </c>
      <c r="AA776" s="1">
        <v>2749275</v>
      </c>
      <c r="AB776" s="1" t="s">
        <v>660</v>
      </c>
      <c r="AC776" s="5">
        <v>42717</v>
      </c>
      <c r="AF776" s="1">
        <v>10010</v>
      </c>
      <c r="AI776" s="1" t="s">
        <v>45</v>
      </c>
      <c r="AJ776" s="1">
        <v>1915</v>
      </c>
      <c r="AK776" s="1" t="s">
        <v>49</v>
      </c>
      <c r="AL776" s="1">
        <v>125</v>
      </c>
    </row>
    <row r="777" spans="1:38" x14ac:dyDescent="0.2">
      <c r="A777" s="2" t="str">
        <f>HYPERLINK("https://www.compass.com/listing/10-madison-square-west-unit-14g-manhattan-ny-10010/29374743882830897/","10 Madison Sq W, Unit 14G")</f>
        <v>10 Madison Sq W, Unit 14G</v>
      </c>
      <c r="B777" s="2" t="str">
        <f t="shared" si="116"/>
        <v>10 Madison Square West</v>
      </c>
      <c r="C777" s="1" t="s">
        <v>56</v>
      </c>
      <c r="D777" s="1" t="s">
        <v>41</v>
      </c>
      <c r="E777" s="3">
        <v>2189238</v>
      </c>
      <c r="F777" s="1">
        <v>2088.96708015267</v>
      </c>
      <c r="M777" s="4">
        <v>1048</v>
      </c>
      <c r="Q777" s="1" t="s">
        <v>42</v>
      </c>
      <c r="S777" s="1" t="s">
        <v>42</v>
      </c>
      <c r="T777" s="1" t="s">
        <v>153</v>
      </c>
      <c r="AA777" s="1">
        <v>2189237.5</v>
      </c>
      <c r="AB777" s="1" t="s">
        <v>661</v>
      </c>
      <c r="AC777" s="5">
        <v>42621</v>
      </c>
      <c r="AF777" s="1">
        <v>10010</v>
      </c>
      <c r="AI777" s="1" t="s">
        <v>45</v>
      </c>
      <c r="AJ777" s="1">
        <v>1915</v>
      </c>
      <c r="AK777" s="1" t="s">
        <v>49</v>
      </c>
      <c r="AL777" s="1">
        <v>125</v>
      </c>
    </row>
    <row r="778" spans="1:38" x14ac:dyDescent="0.2">
      <c r="A778" s="2" t="str">
        <f>HYPERLINK("https://www.compass.com/listing/160-east-22nd-street-unit-4e-manhattan-ny-10010/167817250252856993/","160 E 22nd St, Unit 4E")</f>
        <v>160 E 22nd St, Unit 4E</v>
      </c>
      <c r="B778" s="2" t="str">
        <f t="shared" ref="B778:B780" si="117">HYPERLINK("https://www.compass.com/building/160-e-22nd-st-manhattan-ny-10010/292796862321154661/","160 E 22nd St")</f>
        <v>160 E 22nd St</v>
      </c>
      <c r="C778" s="1" t="s">
        <v>54</v>
      </c>
      <c r="D778" s="1" t="s">
        <v>41</v>
      </c>
      <c r="E778" s="3">
        <v>926597</v>
      </c>
      <c r="F778" s="1">
        <v>1611.47366956521</v>
      </c>
      <c r="H778" s="1" t="s">
        <v>94</v>
      </c>
      <c r="J778" s="1">
        <v>1</v>
      </c>
      <c r="M778" s="1">
        <v>575</v>
      </c>
      <c r="N778" s="1">
        <v>545</v>
      </c>
      <c r="O778" s="1">
        <v>748</v>
      </c>
      <c r="P778" s="1">
        <v>203</v>
      </c>
      <c r="Q778" s="1" t="s">
        <v>42</v>
      </c>
      <c r="S778" s="1" t="s">
        <v>42</v>
      </c>
      <c r="T778" s="1" t="s">
        <v>153</v>
      </c>
      <c r="AA778" s="1">
        <v>926597.36</v>
      </c>
      <c r="AB778" s="1" t="s">
        <v>662</v>
      </c>
      <c r="AC778" s="5">
        <v>41893</v>
      </c>
      <c r="AF778" s="1">
        <v>10010</v>
      </c>
      <c r="AI778" s="1" t="s">
        <v>55</v>
      </c>
      <c r="AJ778" s="1">
        <v>2012</v>
      </c>
      <c r="AK778" s="1" t="s">
        <v>49</v>
      </c>
      <c r="AL778" s="1">
        <v>81</v>
      </c>
    </row>
    <row r="779" spans="1:38" x14ac:dyDescent="0.2">
      <c r="A779" s="2" t="str">
        <f>HYPERLINK("https://www.compass.com/listing/160-east-22nd-street-unit-7f-manhattan-ny-10010/391317680384259937/","160 E 22nd St, Unit 7F")</f>
        <v>160 E 22nd St, Unit 7F</v>
      </c>
      <c r="B779" s="2" t="str">
        <f t="shared" si="117"/>
        <v>160 E 22nd St</v>
      </c>
      <c r="C779" s="1" t="s">
        <v>54</v>
      </c>
      <c r="D779" s="1" t="s">
        <v>41</v>
      </c>
      <c r="E779" s="3">
        <v>999911</v>
      </c>
      <c r="F779" s="1">
        <v>1818.02</v>
      </c>
      <c r="H779" s="1" t="s">
        <v>94</v>
      </c>
      <c r="I779" s="1">
        <v>1</v>
      </c>
      <c r="J779" s="1">
        <v>1</v>
      </c>
      <c r="K779" s="1">
        <v>1</v>
      </c>
      <c r="M779" s="1">
        <v>550</v>
      </c>
      <c r="N779" s="1">
        <v>523</v>
      </c>
      <c r="O779" s="1">
        <v>718</v>
      </c>
      <c r="P779" s="1">
        <v>195</v>
      </c>
      <c r="S779" s="1" t="s">
        <v>42</v>
      </c>
      <c r="T779" s="1" t="s">
        <v>153</v>
      </c>
      <c r="V779" s="5">
        <v>44247</v>
      </c>
      <c r="AA779" s="1">
        <v>999911</v>
      </c>
      <c r="AB779" s="1" t="s">
        <v>177</v>
      </c>
      <c r="AC779" s="5">
        <v>43679</v>
      </c>
      <c r="AF779" s="1">
        <v>10010</v>
      </c>
      <c r="AI779" s="1" t="s">
        <v>55</v>
      </c>
      <c r="AJ779" s="1">
        <v>2012</v>
      </c>
      <c r="AK779" s="1" t="s">
        <v>49</v>
      </c>
      <c r="AL779" s="1">
        <v>81</v>
      </c>
    </row>
    <row r="780" spans="1:38" x14ac:dyDescent="0.2">
      <c r="A780" s="2" t="str">
        <f>HYPERLINK("https://www.compass.com/listing/160-east-22nd-street-unit-3d-manhattan-ny-10010/502222070298640993/","160 E 22nd St, Unit 3D")</f>
        <v>160 E 22nd St, Unit 3D</v>
      </c>
      <c r="B780" s="2" t="str">
        <f t="shared" si="117"/>
        <v>160 E 22nd St</v>
      </c>
      <c r="C780" s="1" t="s">
        <v>54</v>
      </c>
      <c r="D780" s="1" t="s">
        <v>41</v>
      </c>
      <c r="E780" s="3">
        <v>1028422</v>
      </c>
      <c r="F780" s="1">
        <v>1958.89973333333</v>
      </c>
      <c r="H780" s="1" t="s">
        <v>94</v>
      </c>
      <c r="J780" s="1">
        <v>1</v>
      </c>
      <c r="M780" s="1">
        <v>525</v>
      </c>
      <c r="N780" s="1">
        <v>493</v>
      </c>
      <c r="O780" s="1">
        <v>677</v>
      </c>
      <c r="P780" s="1">
        <v>184</v>
      </c>
      <c r="Q780" s="1" t="s">
        <v>42</v>
      </c>
      <c r="S780" s="1" t="s">
        <v>42</v>
      </c>
      <c r="T780" s="1" t="s">
        <v>153</v>
      </c>
      <c r="AA780" s="1">
        <v>1028422.36</v>
      </c>
      <c r="AB780" s="1" t="s">
        <v>663</v>
      </c>
      <c r="AC780" s="5">
        <v>41893</v>
      </c>
      <c r="AF780" s="1">
        <v>10010</v>
      </c>
      <c r="AI780" s="1" t="s">
        <v>55</v>
      </c>
      <c r="AJ780" s="1">
        <v>2012</v>
      </c>
      <c r="AK780" s="1" t="s">
        <v>49</v>
      </c>
      <c r="AL780" s="1">
        <v>81</v>
      </c>
    </row>
    <row r="781" spans="1:38" x14ac:dyDescent="0.2">
      <c r="A781" s="2" t="str">
        <f>HYPERLINK("https://www.compass.com/listing/180-6th-avenue-unit-3d-manhattan-ny-10013/13087390486862881/","180 6th Ave, Unit 3D")</f>
        <v>180 6th Ave, Unit 3D</v>
      </c>
      <c r="B781" s="2" t="str">
        <f>HYPERLINK("https://www.compass.com/building/one-vandam-manhattan-ny/307436879024291493/","One Vandam")</f>
        <v>One Vandam</v>
      </c>
      <c r="C781" s="1" t="s">
        <v>50</v>
      </c>
      <c r="D781" s="1" t="s">
        <v>41</v>
      </c>
      <c r="E781" s="3">
        <v>3762433</v>
      </c>
      <c r="F781" s="1">
        <v>2039.2590785907801</v>
      </c>
      <c r="G781" s="1">
        <v>4.5</v>
      </c>
      <c r="H781" s="1">
        <v>2</v>
      </c>
      <c r="I781" s="1">
        <v>3</v>
      </c>
      <c r="J781" s="1">
        <v>2.5</v>
      </c>
      <c r="M781" s="4">
        <v>1845</v>
      </c>
      <c r="N781" s="1">
        <v>2423</v>
      </c>
      <c r="O781" s="1">
        <v>4726</v>
      </c>
      <c r="P781" s="1">
        <v>2303</v>
      </c>
      <c r="Q781" s="1" t="s">
        <v>42</v>
      </c>
      <c r="S781" s="1" t="s">
        <v>42</v>
      </c>
      <c r="T781" s="1" t="s">
        <v>153</v>
      </c>
      <c r="U781" s="1">
        <v>42</v>
      </c>
      <c r="V781" s="5">
        <v>43631</v>
      </c>
      <c r="W781" s="5">
        <v>41570</v>
      </c>
      <c r="X781" s="1">
        <v>3695000</v>
      </c>
      <c r="Y781" s="1">
        <v>3695000</v>
      </c>
      <c r="Z781" s="5">
        <v>41612</v>
      </c>
      <c r="AA781" s="1">
        <v>3762433</v>
      </c>
      <c r="AB781" s="1" t="s">
        <v>664</v>
      </c>
      <c r="AC781" s="5">
        <v>42444</v>
      </c>
      <c r="AF781" s="1">
        <v>10013</v>
      </c>
      <c r="AI781" s="1" t="s">
        <v>51</v>
      </c>
      <c r="AJ781" s="1">
        <v>2014</v>
      </c>
      <c r="AK781" s="1" t="s">
        <v>49</v>
      </c>
      <c r="AL781" s="1">
        <v>25</v>
      </c>
    </row>
    <row r="782" spans="1:38" x14ac:dyDescent="0.2">
      <c r="A782" s="2" t="str">
        <f>HYPERLINK("https://www.compass.com/listing/10-madison-square-west-unit-3h-manhattan-ny-10010/29374716435361345/","10 Madison Sq W, Unit 3H")</f>
        <v>10 Madison Sq W, Unit 3H</v>
      </c>
      <c r="B782" s="2" t="str">
        <f t="shared" ref="B782:B788" si="118">HYPERLINK("https://www.compass.com/building/10-madison-square-west-manhattan-ny/294838725091521285/","10 Madison Square West")</f>
        <v>10 Madison Square West</v>
      </c>
      <c r="C782" s="1" t="s">
        <v>56</v>
      </c>
      <c r="D782" s="1" t="s">
        <v>41</v>
      </c>
      <c r="E782" s="3">
        <v>1680113</v>
      </c>
      <c r="F782" s="1">
        <v>1881.42497200447</v>
      </c>
      <c r="M782" s="1">
        <v>893</v>
      </c>
      <c r="Q782" s="1" t="s">
        <v>42</v>
      </c>
      <c r="S782" s="1" t="s">
        <v>42</v>
      </c>
      <c r="T782" s="1" t="s">
        <v>153</v>
      </c>
      <c r="AA782" s="1">
        <v>1680112.5</v>
      </c>
      <c r="AB782" s="1" t="s">
        <v>665</v>
      </c>
      <c r="AC782" s="5">
        <v>42788</v>
      </c>
      <c r="AF782" s="1">
        <v>10010</v>
      </c>
      <c r="AI782" s="1" t="s">
        <v>45</v>
      </c>
      <c r="AJ782" s="1">
        <v>1915</v>
      </c>
      <c r="AK782" s="1" t="s">
        <v>49</v>
      </c>
      <c r="AL782" s="1">
        <v>125</v>
      </c>
    </row>
    <row r="783" spans="1:38" x14ac:dyDescent="0.2">
      <c r="A783" s="2" t="str">
        <f>HYPERLINK("https://www.compass.com/listing/10-madison-square-west-unit-8c-manhattan-ny-10010/29374729370595153/","10 Madison Sq W, Unit 8C")</f>
        <v>10 Madison Sq W, Unit 8C</v>
      </c>
      <c r="B783" s="2" t="str">
        <f t="shared" si="118"/>
        <v>10 Madison Square West</v>
      </c>
      <c r="C783" s="1" t="s">
        <v>56</v>
      </c>
      <c r="D783" s="1" t="s">
        <v>41</v>
      </c>
      <c r="E783" s="3">
        <v>3207488</v>
      </c>
      <c r="F783" s="1">
        <v>2238.3025122121398</v>
      </c>
      <c r="M783" s="4">
        <v>1433</v>
      </c>
      <c r="Q783" s="1" t="s">
        <v>42</v>
      </c>
      <c r="S783" s="1" t="s">
        <v>42</v>
      </c>
      <c r="T783" s="1" t="s">
        <v>153</v>
      </c>
      <c r="AA783" s="1">
        <v>3207487.5</v>
      </c>
      <c r="AB783" s="1" t="s">
        <v>666</v>
      </c>
      <c r="AC783" s="5">
        <v>42457</v>
      </c>
      <c r="AF783" s="1">
        <v>10010</v>
      </c>
      <c r="AI783" s="1" t="s">
        <v>45</v>
      </c>
      <c r="AJ783" s="1">
        <v>1915</v>
      </c>
      <c r="AK783" s="1" t="s">
        <v>49</v>
      </c>
      <c r="AL783" s="1">
        <v>125</v>
      </c>
    </row>
    <row r="784" spans="1:38" x14ac:dyDescent="0.2">
      <c r="A784" s="2" t="str">
        <f>HYPERLINK("https://www.compass.com/listing/10-madison-square-west-unit-8d-manhattan-ny-10010/29374729722860321/","10 Madison Sq W, Unit 8D")</f>
        <v>10 Madison Sq W, Unit 8D</v>
      </c>
      <c r="B784" s="2" t="str">
        <f t="shared" si="118"/>
        <v>10 Madison Square West</v>
      </c>
      <c r="C784" s="1" t="s">
        <v>56</v>
      </c>
      <c r="D784" s="1" t="s">
        <v>41</v>
      </c>
      <c r="E784" s="3">
        <v>3309313</v>
      </c>
      <c r="F784" s="1">
        <v>1958.1730769230701</v>
      </c>
      <c r="M784" s="4">
        <v>1690</v>
      </c>
      <c r="Q784" s="1" t="s">
        <v>42</v>
      </c>
      <c r="S784" s="1" t="s">
        <v>42</v>
      </c>
      <c r="T784" s="1" t="s">
        <v>153</v>
      </c>
      <c r="AA784" s="1">
        <v>3309312.5</v>
      </c>
      <c r="AB784" s="1" t="s">
        <v>667</v>
      </c>
      <c r="AC784" s="5">
        <v>42517</v>
      </c>
      <c r="AF784" s="1">
        <v>10010</v>
      </c>
      <c r="AI784" s="1" t="s">
        <v>45</v>
      </c>
      <c r="AJ784" s="1">
        <v>1915</v>
      </c>
      <c r="AK784" s="1" t="s">
        <v>49</v>
      </c>
      <c r="AL784" s="1">
        <v>125</v>
      </c>
    </row>
    <row r="785" spans="1:38" x14ac:dyDescent="0.2">
      <c r="A785" s="2" t="str">
        <f>HYPERLINK("https://www.compass.com/listing/10-madison-square-west-unit-11c-manhattan-ny-10010/29374736131812161/","10 Madison Sq W, Unit 11C")</f>
        <v>10 Madison Sq W, Unit 11C</v>
      </c>
      <c r="B785" s="2" t="str">
        <f t="shared" si="118"/>
        <v>10 Madison Square West</v>
      </c>
      <c r="C785" s="1" t="s">
        <v>56</v>
      </c>
      <c r="D785" s="1" t="s">
        <v>41</v>
      </c>
      <c r="E785" s="3">
        <v>3614788</v>
      </c>
      <c r="F785" s="1">
        <v>2031.9210230466499</v>
      </c>
      <c r="M785" s="4">
        <v>1779</v>
      </c>
      <c r="Q785" s="1" t="s">
        <v>42</v>
      </c>
      <c r="S785" s="1" t="s">
        <v>42</v>
      </c>
      <c r="T785" s="1" t="s">
        <v>153</v>
      </c>
      <c r="AA785" s="1">
        <v>3614787.5</v>
      </c>
      <c r="AB785" s="1" t="s">
        <v>668</v>
      </c>
      <c r="AC785" s="5">
        <v>42486</v>
      </c>
      <c r="AF785" s="1">
        <v>10010</v>
      </c>
      <c r="AI785" s="1" t="s">
        <v>45</v>
      </c>
      <c r="AJ785" s="1">
        <v>1915</v>
      </c>
      <c r="AK785" s="1" t="s">
        <v>49</v>
      </c>
      <c r="AL785" s="1">
        <v>125</v>
      </c>
    </row>
    <row r="786" spans="1:38" x14ac:dyDescent="0.2">
      <c r="A786" s="2" t="str">
        <f>HYPERLINK("https://www.compass.com/listing/10-madison-square-west-unit-16c-manhattan-ny-10010/29374747783590113/","10 Madison Sq W, Unit 16C")</f>
        <v>10 Madison Sq W, Unit 16C</v>
      </c>
      <c r="B786" s="2" t="str">
        <f t="shared" si="118"/>
        <v>10 Madison Square West</v>
      </c>
      <c r="C786" s="1" t="s">
        <v>56</v>
      </c>
      <c r="D786" s="1" t="s">
        <v>41</v>
      </c>
      <c r="E786" s="3">
        <v>4276650</v>
      </c>
      <c r="F786" s="1">
        <v>2403.9629005059001</v>
      </c>
      <c r="M786" s="4">
        <v>1779</v>
      </c>
      <c r="Q786" s="1" t="s">
        <v>42</v>
      </c>
      <c r="S786" s="1" t="s">
        <v>42</v>
      </c>
      <c r="T786" s="1" t="s">
        <v>153</v>
      </c>
      <c r="AA786" s="1">
        <v>4276650</v>
      </c>
      <c r="AB786" s="1" t="s">
        <v>669</v>
      </c>
      <c r="AC786" s="5">
        <v>42514</v>
      </c>
      <c r="AF786" s="1">
        <v>10010</v>
      </c>
      <c r="AI786" s="1" t="s">
        <v>45</v>
      </c>
      <c r="AJ786" s="1">
        <v>1915</v>
      </c>
      <c r="AK786" s="1" t="s">
        <v>49</v>
      </c>
      <c r="AL786" s="1">
        <v>125</v>
      </c>
    </row>
    <row r="787" spans="1:38" x14ac:dyDescent="0.2">
      <c r="A787" s="2" t="str">
        <f>HYPERLINK("https://www.compass.com/listing/10-madison-square-west-unit-7f-manhattan-ny-10010/583062396455997129/","10 Madison Sq W, Unit 7F")</f>
        <v>10 Madison Sq W, Unit 7F</v>
      </c>
      <c r="B787" s="2" t="str">
        <f t="shared" si="118"/>
        <v>10 Madison Square West</v>
      </c>
      <c r="C787" s="1" t="s">
        <v>56</v>
      </c>
      <c r="D787" s="1" t="s">
        <v>41</v>
      </c>
      <c r="E787" s="3">
        <v>3150000</v>
      </c>
      <c r="F787" s="1">
        <v>663.856691253951</v>
      </c>
      <c r="M787" s="4">
        <v>4745</v>
      </c>
      <c r="Q787" s="1" t="s">
        <v>42</v>
      </c>
      <c r="S787" s="1" t="s">
        <v>42</v>
      </c>
      <c r="T787" s="1" t="s">
        <v>153</v>
      </c>
      <c r="AA787" s="1">
        <v>3150000</v>
      </c>
      <c r="AB787" s="1" t="s">
        <v>670</v>
      </c>
      <c r="AC787" s="5">
        <v>44049</v>
      </c>
      <c r="AF787" s="1">
        <v>10010</v>
      </c>
      <c r="AI787" s="1" t="s">
        <v>45</v>
      </c>
      <c r="AJ787" s="1">
        <v>1915</v>
      </c>
      <c r="AK787" s="1" t="s">
        <v>49</v>
      </c>
      <c r="AL787" s="1">
        <v>125</v>
      </c>
    </row>
    <row r="788" spans="1:38" x14ac:dyDescent="0.2">
      <c r="A788" s="2" t="str">
        <f>HYPERLINK("https://www.compass.com/listing/10-madison-square-west-unit-7d-manhattan-ny-10010/850206970031362801/","10 Madison Sq W, Unit 7D")</f>
        <v>10 Madison Sq W, Unit 7D</v>
      </c>
      <c r="B788" s="2" t="str">
        <f t="shared" si="118"/>
        <v>10 Madison Square West</v>
      </c>
      <c r="C788" s="1" t="s">
        <v>56</v>
      </c>
      <c r="D788" s="1" t="s">
        <v>41</v>
      </c>
      <c r="E788" s="3">
        <v>4050000</v>
      </c>
      <c r="F788" s="1">
        <v>2396.44970414201</v>
      </c>
      <c r="M788" s="4">
        <v>1690</v>
      </c>
      <c r="Q788" s="1" t="s">
        <v>42</v>
      </c>
      <c r="S788" s="1" t="s">
        <v>42</v>
      </c>
      <c r="T788" s="1" t="s">
        <v>153</v>
      </c>
      <c r="AA788" s="1">
        <v>4050000</v>
      </c>
      <c r="AB788" s="1" t="s">
        <v>671</v>
      </c>
      <c r="AC788" s="5">
        <v>43725</v>
      </c>
      <c r="AF788" s="1">
        <v>10010</v>
      </c>
      <c r="AI788" s="1" t="s">
        <v>45</v>
      </c>
      <c r="AJ788" s="1">
        <v>1915</v>
      </c>
      <c r="AK788" s="1" t="s">
        <v>49</v>
      </c>
      <c r="AL788" s="1">
        <v>125</v>
      </c>
    </row>
    <row r="789" spans="1:38" x14ac:dyDescent="0.2">
      <c r="A789" s="2" t="str">
        <f>HYPERLINK("https://www.compass.com/listing/180-6th-avenue-unit-5b-manhattan-ny-10013/13087413010219425/","180 6th Ave, Unit 5B")</f>
        <v>180 6th Ave, Unit 5B</v>
      </c>
      <c r="B789" s="2" t="str">
        <f t="shared" ref="B789:B797" si="119">HYPERLINK("https://www.compass.com/building/one-vandam-manhattan-ny/307436879024291493/","One Vandam")</f>
        <v>One Vandam</v>
      </c>
      <c r="C789" s="1" t="s">
        <v>50</v>
      </c>
      <c r="D789" s="1" t="s">
        <v>41</v>
      </c>
      <c r="E789" s="3">
        <v>1644473</v>
      </c>
      <c r="F789" s="1">
        <v>2231.3066485753002</v>
      </c>
      <c r="G789" s="1">
        <v>3</v>
      </c>
      <c r="H789" s="1">
        <v>1</v>
      </c>
      <c r="I789" s="1">
        <v>1</v>
      </c>
      <c r="M789" s="1">
        <v>737</v>
      </c>
      <c r="N789" s="1">
        <v>977</v>
      </c>
      <c r="O789" s="1">
        <v>1906</v>
      </c>
      <c r="P789" s="1">
        <v>929</v>
      </c>
      <c r="Q789" s="1" t="s">
        <v>42</v>
      </c>
      <c r="S789" s="1" t="s">
        <v>42</v>
      </c>
      <c r="T789" s="1" t="s">
        <v>153</v>
      </c>
      <c r="V789" s="5">
        <v>43693</v>
      </c>
      <c r="W789" s="5">
        <v>41629</v>
      </c>
      <c r="X789" s="1">
        <v>1615000</v>
      </c>
      <c r="Y789" s="1">
        <v>1615000</v>
      </c>
      <c r="Z789" s="5">
        <v>41629</v>
      </c>
      <c r="AA789" s="1">
        <v>1644473</v>
      </c>
      <c r="AB789" s="1" t="s">
        <v>672</v>
      </c>
      <c r="AC789" s="5">
        <v>42448</v>
      </c>
      <c r="AF789" s="1">
        <v>10013</v>
      </c>
      <c r="AI789" s="1" t="s">
        <v>85</v>
      </c>
      <c r="AJ789" s="1">
        <v>2014</v>
      </c>
      <c r="AK789" s="1" t="s">
        <v>46</v>
      </c>
      <c r="AL789" s="1">
        <v>25</v>
      </c>
    </row>
    <row r="790" spans="1:38" x14ac:dyDescent="0.2">
      <c r="A790" s="2" t="str">
        <f>HYPERLINK("https://www.compass.com/listing/180-6th-avenue-unit-b8-manhattan-ny-10013/13087390797179361/","180 6th Ave, Unit B8")</f>
        <v>180 6th Ave, Unit B8</v>
      </c>
      <c r="B790" s="2" t="str">
        <f t="shared" si="119"/>
        <v>One Vandam</v>
      </c>
      <c r="C790" s="1" t="s">
        <v>50</v>
      </c>
      <c r="D790" s="1" t="s">
        <v>41</v>
      </c>
      <c r="E790" s="3">
        <v>5850000</v>
      </c>
      <c r="F790" s="1">
        <v>2633.9486717694699</v>
      </c>
      <c r="G790" s="1">
        <v>5</v>
      </c>
      <c r="H790" s="1">
        <v>3</v>
      </c>
      <c r="I790" s="1">
        <v>4</v>
      </c>
      <c r="J790" s="1">
        <v>3.5</v>
      </c>
      <c r="M790" s="4">
        <v>2221</v>
      </c>
      <c r="N790" s="1">
        <v>3089</v>
      </c>
      <c r="O790" s="1">
        <v>5990</v>
      </c>
      <c r="P790" s="1">
        <v>2901</v>
      </c>
      <c r="Q790" s="1" t="s">
        <v>42</v>
      </c>
      <c r="S790" s="1" t="s">
        <v>42</v>
      </c>
      <c r="T790" s="1" t="s">
        <v>153</v>
      </c>
      <c r="U790" s="1">
        <v>239</v>
      </c>
      <c r="V790" s="5">
        <v>42633</v>
      </c>
      <c r="W790" s="5">
        <v>42346</v>
      </c>
      <c r="X790" s="1">
        <v>6200000</v>
      </c>
      <c r="Y790" s="1">
        <v>5850000</v>
      </c>
      <c r="Z790" s="5">
        <v>42586</v>
      </c>
      <c r="AB790" s="1" t="s">
        <v>177</v>
      </c>
      <c r="AC790" s="5">
        <v>42633</v>
      </c>
      <c r="AF790" s="1">
        <v>10013</v>
      </c>
      <c r="AI790" s="1" t="s">
        <v>673</v>
      </c>
      <c r="AJ790" s="1">
        <v>2014</v>
      </c>
      <c r="AK790" s="1" t="s">
        <v>49</v>
      </c>
      <c r="AL790" s="1">
        <v>25</v>
      </c>
    </row>
    <row r="791" spans="1:38" x14ac:dyDescent="0.2">
      <c r="A791" s="2" t="str">
        <f>HYPERLINK("https://www.compass.com/listing/180-6th-avenue-unit-9a-manhattan-ny-10013/13087399152234609/","180 6th Ave, Unit 9A")</f>
        <v>180 6th Ave, Unit 9A</v>
      </c>
      <c r="B791" s="2" t="str">
        <f t="shared" si="119"/>
        <v>One Vandam</v>
      </c>
      <c r="C791" s="1" t="s">
        <v>50</v>
      </c>
      <c r="D791" s="1" t="s">
        <v>41</v>
      </c>
      <c r="E791" s="3">
        <v>6567712</v>
      </c>
      <c r="F791" s="1">
        <v>2904.7819548872098</v>
      </c>
      <c r="G791" s="1">
        <v>6</v>
      </c>
      <c r="H791" s="1">
        <v>4</v>
      </c>
      <c r="I791" s="1">
        <v>4</v>
      </c>
      <c r="J791" s="1">
        <v>0.5</v>
      </c>
      <c r="L791" s="1">
        <v>1</v>
      </c>
      <c r="M791" s="4">
        <v>2261</v>
      </c>
      <c r="N791" s="1">
        <v>3112</v>
      </c>
      <c r="O791" s="1">
        <v>6071</v>
      </c>
      <c r="P791" s="1">
        <v>2959</v>
      </c>
      <c r="Q791" s="1" t="s">
        <v>42</v>
      </c>
      <c r="S791" s="1" t="s">
        <v>42</v>
      </c>
      <c r="T791" s="1" t="s">
        <v>153</v>
      </c>
      <c r="V791" s="5">
        <v>43642</v>
      </c>
      <c r="W791" s="5">
        <v>41629</v>
      </c>
      <c r="X791" s="1">
        <v>6450000</v>
      </c>
      <c r="Y791" s="1">
        <v>6450000</v>
      </c>
      <c r="Z791" s="5">
        <v>41629</v>
      </c>
      <c r="AA791" s="1">
        <v>6567712</v>
      </c>
      <c r="AB791" s="1" t="s">
        <v>674</v>
      </c>
      <c r="AC791" s="5">
        <v>42454</v>
      </c>
      <c r="AF791" s="1">
        <v>10013</v>
      </c>
      <c r="AI791" s="1" t="s">
        <v>85</v>
      </c>
      <c r="AJ791" s="1">
        <v>2014</v>
      </c>
      <c r="AK791" s="1" t="s">
        <v>46</v>
      </c>
      <c r="AL791" s="1">
        <v>25</v>
      </c>
    </row>
    <row r="792" spans="1:38" x14ac:dyDescent="0.2">
      <c r="A792" s="2" t="str">
        <f>HYPERLINK("https://www.compass.com/listing/180-6th-avenue-unit-3a-manhattan-ny-10013/70924400127398225/","180 6th Ave, Unit 3A")</f>
        <v>180 6th Ave, Unit 3A</v>
      </c>
      <c r="B792" s="2" t="str">
        <f t="shared" si="119"/>
        <v>One Vandam</v>
      </c>
      <c r="C792" s="1" t="s">
        <v>50</v>
      </c>
      <c r="D792" s="1" t="s">
        <v>41</v>
      </c>
      <c r="E792" s="3">
        <v>3385681</v>
      </c>
      <c r="F792" s="1">
        <v>2174.4900449582501</v>
      </c>
      <c r="G792" s="1">
        <v>4.5</v>
      </c>
      <c r="H792" s="1">
        <v>2</v>
      </c>
      <c r="I792" s="1">
        <v>3</v>
      </c>
      <c r="J792" s="1">
        <v>2.5</v>
      </c>
      <c r="M792" s="4">
        <v>1557</v>
      </c>
      <c r="N792" s="1">
        <v>2055</v>
      </c>
      <c r="O792" s="1">
        <v>4008</v>
      </c>
      <c r="P792" s="1">
        <v>1953</v>
      </c>
      <c r="Q792" s="1" t="s">
        <v>42</v>
      </c>
      <c r="S792" s="1" t="s">
        <v>42</v>
      </c>
      <c r="T792" s="1" t="s">
        <v>153</v>
      </c>
      <c r="V792" s="5">
        <v>43637</v>
      </c>
      <c r="W792" s="5">
        <v>42374</v>
      </c>
      <c r="X792" s="1">
        <v>3325000</v>
      </c>
      <c r="Y792" s="1">
        <v>3325000</v>
      </c>
      <c r="Z792" s="5">
        <v>42374</v>
      </c>
      <c r="AA792" s="1">
        <v>3385681</v>
      </c>
      <c r="AB792" s="1" t="s">
        <v>177</v>
      </c>
      <c r="AC792" s="5">
        <v>42452</v>
      </c>
      <c r="AF792" s="1">
        <v>10013</v>
      </c>
      <c r="AI792" s="1" t="s">
        <v>51</v>
      </c>
      <c r="AJ792" s="1">
        <v>2014</v>
      </c>
      <c r="AK792" s="1" t="s">
        <v>49</v>
      </c>
      <c r="AL792" s="1">
        <v>25</v>
      </c>
    </row>
    <row r="793" spans="1:38" x14ac:dyDescent="0.2">
      <c r="A793" s="2" t="str">
        <f>HYPERLINK("https://www.compass.com/listing/180-6th-avenue-unit-4a-manhattan-ny-10013/13087394370789249/","180 6th Ave, Unit 4A")</f>
        <v>180 6th Ave, Unit 4A</v>
      </c>
      <c r="B793" s="2" t="str">
        <f t="shared" si="119"/>
        <v>One Vandam</v>
      </c>
      <c r="C793" s="1" t="s">
        <v>50</v>
      </c>
      <c r="D793" s="1" t="s">
        <v>41</v>
      </c>
      <c r="E793" s="3">
        <v>3390772</v>
      </c>
      <c r="F793" s="1">
        <v>2177.7597944765498</v>
      </c>
      <c r="G793" s="1">
        <v>4</v>
      </c>
      <c r="H793" s="1">
        <v>2</v>
      </c>
      <c r="I793" s="1">
        <v>3</v>
      </c>
      <c r="J793" s="1">
        <v>0.5</v>
      </c>
      <c r="L793" s="1">
        <v>1</v>
      </c>
      <c r="M793" s="4">
        <v>1557</v>
      </c>
      <c r="N793" s="1">
        <v>2054</v>
      </c>
      <c r="O793" s="1">
        <v>4007</v>
      </c>
      <c r="P793" s="1">
        <v>1953</v>
      </c>
      <c r="Q793" s="1" t="s">
        <v>42</v>
      </c>
      <c r="S793" s="1" t="s">
        <v>42</v>
      </c>
      <c r="T793" s="1" t="s">
        <v>153</v>
      </c>
      <c r="U793" s="1">
        <v>135</v>
      </c>
      <c r="V793" s="5">
        <v>43631</v>
      </c>
      <c r="W793" s="5">
        <v>41591</v>
      </c>
      <c r="X793" s="1">
        <v>3330000</v>
      </c>
      <c r="Y793" s="1">
        <v>3330000</v>
      </c>
      <c r="Z793" s="5">
        <v>41726</v>
      </c>
      <c r="AA793" s="1">
        <v>3390772</v>
      </c>
      <c r="AB793" s="1" t="s">
        <v>656</v>
      </c>
      <c r="AC793" s="5">
        <v>42440</v>
      </c>
      <c r="AF793" s="1">
        <v>10013</v>
      </c>
      <c r="AI793" s="1" t="s">
        <v>85</v>
      </c>
      <c r="AJ793" s="1">
        <v>2014</v>
      </c>
      <c r="AK793" s="1" t="s">
        <v>46</v>
      </c>
      <c r="AL793" s="1">
        <v>25</v>
      </c>
    </row>
    <row r="794" spans="1:38" x14ac:dyDescent="0.2">
      <c r="A794" s="2" t="str">
        <f>HYPERLINK("https://www.compass.com/listing/180-6th-avenue-unit-b4-manhattan-ny-10013/13087398346883649/","180 6th Ave, Unit B4")</f>
        <v>180 6th Ave, Unit B4</v>
      </c>
      <c r="B794" s="2" t="str">
        <f t="shared" si="119"/>
        <v>One Vandam</v>
      </c>
      <c r="C794" s="1" t="s">
        <v>50</v>
      </c>
      <c r="D794" s="1" t="s">
        <v>41</v>
      </c>
      <c r="E794" s="3">
        <v>1795000</v>
      </c>
      <c r="F794" s="1">
        <v>2435.5495251017601</v>
      </c>
      <c r="G794" s="1">
        <v>3</v>
      </c>
      <c r="H794" s="1">
        <v>1</v>
      </c>
      <c r="I794" s="1">
        <v>1</v>
      </c>
      <c r="J794" s="1">
        <v>1</v>
      </c>
      <c r="M794" s="1">
        <v>737</v>
      </c>
      <c r="N794" s="1">
        <v>993</v>
      </c>
      <c r="O794" s="1">
        <v>1918</v>
      </c>
      <c r="P794" s="1">
        <v>925</v>
      </c>
      <c r="Q794" s="1" t="s">
        <v>42</v>
      </c>
      <c r="S794" s="1" t="s">
        <v>42</v>
      </c>
      <c r="T794" s="1" t="s">
        <v>153</v>
      </c>
      <c r="U794" s="1">
        <v>22</v>
      </c>
      <c r="V794" s="5">
        <v>42507</v>
      </c>
      <c r="W794" s="5">
        <v>42346</v>
      </c>
      <c r="X794" s="1">
        <v>17950000</v>
      </c>
      <c r="Y794" s="1">
        <v>17950000</v>
      </c>
      <c r="Z794" s="5">
        <v>42369</v>
      </c>
      <c r="AB794" s="1" t="s">
        <v>177</v>
      </c>
      <c r="AC794" s="5">
        <v>42445</v>
      </c>
      <c r="AF794" s="1">
        <v>10013</v>
      </c>
      <c r="AI794" s="1" t="s">
        <v>633</v>
      </c>
      <c r="AJ794" s="1">
        <v>2014</v>
      </c>
      <c r="AK794" s="1" t="s">
        <v>49</v>
      </c>
      <c r="AL794" s="1">
        <v>25</v>
      </c>
    </row>
    <row r="795" spans="1:38" x14ac:dyDescent="0.2">
      <c r="A795" s="2" t="str">
        <f>HYPERLINK("https://www.compass.com/listing/180-6th-avenue-unit-5c-manhattan-ny-10013/29363037085411425/","180 6th Ave, Unit 5C")</f>
        <v>180 6th Ave, Unit 5C</v>
      </c>
      <c r="B795" s="2" t="str">
        <f t="shared" si="119"/>
        <v>One Vandam</v>
      </c>
      <c r="C795" s="1" t="s">
        <v>50</v>
      </c>
      <c r="D795" s="1" t="s">
        <v>41</v>
      </c>
      <c r="E795" s="3">
        <v>2025000</v>
      </c>
      <c r="F795" s="1">
        <v>2422.2488038277502</v>
      </c>
      <c r="G795" s="1">
        <v>3</v>
      </c>
      <c r="H795" s="1">
        <v>1</v>
      </c>
      <c r="I795" s="1">
        <v>1</v>
      </c>
      <c r="J795" s="1">
        <v>1</v>
      </c>
      <c r="M795" s="1">
        <v>836</v>
      </c>
      <c r="N795" s="1">
        <v>1132</v>
      </c>
      <c r="O795" s="1">
        <v>2186</v>
      </c>
      <c r="P795" s="1">
        <v>1054</v>
      </c>
      <c r="Q795" s="1" t="s">
        <v>42</v>
      </c>
      <c r="S795" s="1" t="s">
        <v>42</v>
      </c>
      <c r="T795" s="1" t="s">
        <v>153</v>
      </c>
      <c r="U795" s="1">
        <v>109</v>
      </c>
      <c r="V795" s="5">
        <v>43635</v>
      </c>
      <c r="W795" s="5">
        <v>42476</v>
      </c>
      <c r="X795" s="1">
        <v>2150000</v>
      </c>
      <c r="Y795" s="1">
        <v>2150000</v>
      </c>
      <c r="Z795" s="5">
        <v>42585</v>
      </c>
      <c r="AA795" s="1">
        <v>2025000</v>
      </c>
      <c r="AB795" s="1" t="s">
        <v>675</v>
      </c>
      <c r="AC795" s="5">
        <v>42629</v>
      </c>
      <c r="AF795" s="1">
        <v>10013</v>
      </c>
      <c r="AI795" s="1" t="s">
        <v>633</v>
      </c>
      <c r="AJ795" s="1">
        <v>2014</v>
      </c>
      <c r="AK795" s="1" t="s">
        <v>49</v>
      </c>
      <c r="AL795" s="1">
        <v>25</v>
      </c>
    </row>
    <row r="796" spans="1:38" x14ac:dyDescent="0.2">
      <c r="A796" s="2" t="str">
        <f>HYPERLINK("https://www.compass.com/listing/180-6th-avenue-unit-4b-manhattan-ny-10013/502262727155215625/","180 6th Ave, Unit 4B")</f>
        <v>180 6th Ave, Unit 4B</v>
      </c>
      <c r="B796" s="2" t="str">
        <f t="shared" si="119"/>
        <v>One Vandam</v>
      </c>
      <c r="C796" s="1" t="s">
        <v>50</v>
      </c>
      <c r="D796" s="1" t="s">
        <v>41</v>
      </c>
      <c r="E796" s="3">
        <v>1827759</v>
      </c>
      <c r="F796" s="1">
        <v>2479.9983039348699</v>
      </c>
      <c r="G796" s="1">
        <v>3</v>
      </c>
      <c r="H796" s="1">
        <v>1</v>
      </c>
      <c r="I796" s="1">
        <v>1</v>
      </c>
      <c r="J796" s="1">
        <v>1</v>
      </c>
      <c r="M796" s="1">
        <v>737</v>
      </c>
      <c r="N796" s="1">
        <v>993</v>
      </c>
      <c r="O796" s="1">
        <v>1918</v>
      </c>
      <c r="P796" s="1">
        <v>925</v>
      </c>
      <c r="Q796" s="1" t="s">
        <v>42</v>
      </c>
      <c r="S796" s="1" t="s">
        <v>42</v>
      </c>
      <c r="T796" s="1" t="s">
        <v>153</v>
      </c>
      <c r="U796" s="1">
        <v>21</v>
      </c>
      <c r="V796" s="5">
        <v>41640</v>
      </c>
      <c r="W796" s="5">
        <v>42348</v>
      </c>
      <c r="X796" s="1">
        <v>1795000</v>
      </c>
      <c r="Y796" s="1">
        <v>1795000</v>
      </c>
      <c r="Z796" s="5">
        <v>42369</v>
      </c>
      <c r="AA796" s="1">
        <v>1827758.75</v>
      </c>
      <c r="AB796" s="1" t="s">
        <v>676</v>
      </c>
      <c r="AC796" s="5">
        <v>42443</v>
      </c>
      <c r="AF796" s="1">
        <v>10013</v>
      </c>
      <c r="AI796" s="1" t="s">
        <v>51</v>
      </c>
      <c r="AJ796" s="1">
        <v>2014</v>
      </c>
      <c r="AK796" s="1" t="s">
        <v>49</v>
      </c>
      <c r="AL796" s="1">
        <v>25</v>
      </c>
    </row>
    <row r="797" spans="1:38" x14ac:dyDescent="0.2">
      <c r="A797" s="2" t="str">
        <f>HYPERLINK("https://www.compass.com/listing/180-6th-avenue-unit-b4-manhattan-ny-10013/826835730301169121/","180 6th Ave, Unit B4")</f>
        <v>180 6th Ave, Unit B4</v>
      </c>
      <c r="B797" s="2" t="str">
        <f t="shared" si="119"/>
        <v>One Vandam</v>
      </c>
      <c r="C797" s="1" t="s">
        <v>50</v>
      </c>
      <c r="D797" s="1" t="s">
        <v>41</v>
      </c>
      <c r="E797" s="3">
        <v>1795000</v>
      </c>
      <c r="F797" s="1">
        <v>2435.5495251017601</v>
      </c>
      <c r="G797" s="1">
        <v>3</v>
      </c>
      <c r="H797" s="1">
        <v>1</v>
      </c>
      <c r="I797" s="1">
        <v>1</v>
      </c>
      <c r="M797" s="1">
        <v>737</v>
      </c>
      <c r="N797" s="1">
        <v>993</v>
      </c>
      <c r="O797" s="1">
        <v>1918</v>
      </c>
      <c r="P797" s="1">
        <v>925</v>
      </c>
      <c r="Q797" s="1" t="s">
        <v>42</v>
      </c>
      <c r="S797" s="1" t="s">
        <v>42</v>
      </c>
      <c r="T797" s="1" t="s">
        <v>153</v>
      </c>
      <c r="V797" s="5">
        <v>43270</v>
      </c>
      <c r="W797" s="5">
        <v>42347</v>
      </c>
      <c r="X797" s="1">
        <v>1795000</v>
      </c>
      <c r="AB797" s="1" t="s">
        <v>177</v>
      </c>
      <c r="AF797" s="1">
        <v>10013</v>
      </c>
      <c r="AI797" s="1" t="s">
        <v>85</v>
      </c>
      <c r="AJ797" s="1">
        <v>2014</v>
      </c>
      <c r="AK797" s="1" t="s">
        <v>46</v>
      </c>
      <c r="AL797" s="1">
        <v>25</v>
      </c>
    </row>
    <row r="798" spans="1:38" x14ac:dyDescent="0.2">
      <c r="A798" s="2" t="str">
        <f>HYPERLINK("https://www.compass.com/listing/10-madison-square-west-unit-2e-manhattan-ny-10010/29374713004419393/","10 Madison Sq W, Unit 2E")</f>
        <v>10 Madison Sq W, Unit 2E</v>
      </c>
      <c r="B798" s="2" t="str">
        <f t="shared" ref="B798:B825" si="120">HYPERLINK("https://www.compass.com/building/10-madison-square-west-manhattan-ny/294838725091521285/","10 Madison Square West")</f>
        <v>10 Madison Square West</v>
      </c>
      <c r="C798" s="1" t="s">
        <v>56</v>
      </c>
      <c r="D798" s="1" t="s">
        <v>41</v>
      </c>
      <c r="E798" s="3">
        <v>7062073</v>
      </c>
      <c r="F798" s="1">
        <v>2459.7954998258401</v>
      </c>
      <c r="M798" s="4">
        <v>2871</v>
      </c>
      <c r="Q798" s="1" t="s">
        <v>42</v>
      </c>
      <c r="S798" s="1" t="s">
        <v>42</v>
      </c>
      <c r="T798" s="1" t="s">
        <v>153</v>
      </c>
      <c r="AA798" s="1">
        <v>7062072.8799999999</v>
      </c>
      <c r="AB798" s="1" t="s">
        <v>677</v>
      </c>
      <c r="AC798" s="5">
        <v>42934</v>
      </c>
      <c r="AF798" s="1">
        <v>10010</v>
      </c>
      <c r="AI798" s="1" t="s">
        <v>45</v>
      </c>
      <c r="AJ798" s="1">
        <v>1915</v>
      </c>
      <c r="AK798" s="1" t="s">
        <v>49</v>
      </c>
      <c r="AL798" s="1">
        <v>125</v>
      </c>
    </row>
    <row r="799" spans="1:38" x14ac:dyDescent="0.2">
      <c r="A799" s="2" t="str">
        <f>HYPERLINK("https://www.compass.com/listing/10-madison-square-west-unit-3e-manhattan-ny-10010/29374715378396721/","10 Madison Sq W, Unit 3E")</f>
        <v>10 Madison Sq W, Unit 3E</v>
      </c>
      <c r="B799" s="2" t="str">
        <f t="shared" si="120"/>
        <v>10 Madison Square West</v>
      </c>
      <c r="C799" s="1" t="s">
        <v>56</v>
      </c>
      <c r="D799" s="1" t="s">
        <v>41</v>
      </c>
      <c r="E799" s="3">
        <v>8095088</v>
      </c>
      <c r="F799" s="1">
        <v>2819.6055381400201</v>
      </c>
      <c r="M799" s="4">
        <v>2871</v>
      </c>
      <c r="Q799" s="1" t="s">
        <v>42</v>
      </c>
      <c r="S799" s="1" t="s">
        <v>42</v>
      </c>
      <c r="T799" s="1" t="s">
        <v>153</v>
      </c>
      <c r="AA799" s="1">
        <v>8095087.5</v>
      </c>
      <c r="AB799" s="1" t="s">
        <v>678</v>
      </c>
      <c r="AC799" s="5">
        <v>42724</v>
      </c>
      <c r="AF799" s="1">
        <v>10010</v>
      </c>
      <c r="AI799" s="1" t="s">
        <v>45</v>
      </c>
      <c r="AJ799" s="1">
        <v>1915</v>
      </c>
      <c r="AK799" s="1" t="s">
        <v>49</v>
      </c>
      <c r="AL799" s="1">
        <v>125</v>
      </c>
    </row>
    <row r="800" spans="1:38" x14ac:dyDescent="0.2">
      <c r="A800" s="2" t="str">
        <f>HYPERLINK("https://www.compass.com/listing/10-madison-square-west-unit-3g-manhattan-ny-10010/29374716133370241/","10 Madison Sq W, Unit 3G")</f>
        <v>10 Madison Sq W, Unit 3G</v>
      </c>
      <c r="B800" s="2" t="str">
        <f t="shared" si="120"/>
        <v>10 Madison Square West</v>
      </c>
      <c r="C800" s="1" t="s">
        <v>56</v>
      </c>
      <c r="D800" s="1" t="s">
        <v>41</v>
      </c>
      <c r="E800" s="3">
        <v>4582125</v>
      </c>
      <c r="F800" s="1">
        <v>1946.5271877655</v>
      </c>
      <c r="M800" s="4">
        <v>2354</v>
      </c>
      <c r="Q800" s="1" t="s">
        <v>42</v>
      </c>
      <c r="S800" s="1" t="s">
        <v>42</v>
      </c>
      <c r="T800" s="1" t="s">
        <v>153</v>
      </c>
      <c r="AA800" s="1">
        <v>4582125</v>
      </c>
      <c r="AB800" s="1" t="s">
        <v>679</v>
      </c>
      <c r="AC800" s="5">
        <v>42775</v>
      </c>
      <c r="AF800" s="1">
        <v>10010</v>
      </c>
      <c r="AI800" s="1" t="s">
        <v>45</v>
      </c>
      <c r="AJ800" s="1">
        <v>1915</v>
      </c>
      <c r="AK800" s="1" t="s">
        <v>49</v>
      </c>
      <c r="AL800" s="1">
        <v>125</v>
      </c>
    </row>
    <row r="801" spans="1:38" x14ac:dyDescent="0.2">
      <c r="A801" s="2" t="str">
        <f>HYPERLINK("https://www.compass.com/listing/10-madison-square-west-unit-4e-manhattan-ny-10010/29374717685207585/","10 Madison Sq W, Unit 4E")</f>
        <v>10 Madison Sq W, Unit 4E</v>
      </c>
      <c r="B801" s="2" t="str">
        <f t="shared" si="120"/>
        <v>10 Madison Square West</v>
      </c>
      <c r="C801" s="1" t="s">
        <v>56</v>
      </c>
      <c r="D801" s="1" t="s">
        <v>41</v>
      </c>
      <c r="E801" s="3">
        <v>9418813</v>
      </c>
      <c r="F801" s="1">
        <v>3280.6731104144801</v>
      </c>
      <c r="M801" s="4">
        <v>2871</v>
      </c>
      <c r="Q801" s="1" t="s">
        <v>42</v>
      </c>
      <c r="S801" s="1" t="s">
        <v>42</v>
      </c>
      <c r="T801" s="1" t="s">
        <v>153</v>
      </c>
      <c r="AA801" s="1">
        <v>9418812.5</v>
      </c>
      <c r="AB801" s="1" t="s">
        <v>680</v>
      </c>
      <c r="AC801" s="5">
        <v>42611</v>
      </c>
      <c r="AF801" s="1">
        <v>10010</v>
      </c>
      <c r="AI801" s="1" t="s">
        <v>45</v>
      </c>
      <c r="AJ801" s="1">
        <v>1915</v>
      </c>
      <c r="AK801" s="1" t="s">
        <v>49</v>
      </c>
      <c r="AL801" s="1">
        <v>125</v>
      </c>
    </row>
    <row r="802" spans="1:38" x14ac:dyDescent="0.2">
      <c r="A802" s="2" t="str">
        <f>HYPERLINK("https://www.compass.com/listing/10-madison-square-west-unit-6e-manhattan-ny-10010/29374724689750609/","10 Madison Sq W, Unit 6E")</f>
        <v>10 Madison Sq W, Unit 6E</v>
      </c>
      <c r="B802" s="2" t="str">
        <f t="shared" si="120"/>
        <v>10 Madison Square West</v>
      </c>
      <c r="C802" s="1" t="s">
        <v>56</v>
      </c>
      <c r="D802" s="1" t="s">
        <v>41</v>
      </c>
      <c r="E802" s="3">
        <v>8706038</v>
      </c>
      <c r="F802" s="1">
        <v>3032.4059561128502</v>
      </c>
      <c r="M802" s="4">
        <v>2871</v>
      </c>
      <c r="Q802" s="1" t="s">
        <v>42</v>
      </c>
      <c r="S802" s="1" t="s">
        <v>42</v>
      </c>
      <c r="T802" s="1" t="s">
        <v>153</v>
      </c>
      <c r="AA802" s="1">
        <v>8706037.5</v>
      </c>
      <c r="AB802" s="1" t="s">
        <v>681</v>
      </c>
      <c r="AC802" s="5">
        <v>42352</v>
      </c>
      <c r="AF802" s="1">
        <v>10010</v>
      </c>
      <c r="AI802" s="1" t="s">
        <v>45</v>
      </c>
      <c r="AJ802" s="1">
        <v>1915</v>
      </c>
      <c r="AK802" s="1" t="s">
        <v>49</v>
      </c>
      <c r="AL802" s="1">
        <v>125</v>
      </c>
    </row>
    <row r="803" spans="1:38" x14ac:dyDescent="0.2">
      <c r="A803" s="2" t="str">
        <f>HYPERLINK("https://www.compass.com/listing/10-madison-square-west-unit-6f-manhattan-ny-10010/29374725067239185/","10 Madison Sq W, Unit 6F")</f>
        <v>10 Madison Sq W, Unit 6F</v>
      </c>
      <c r="B803" s="2" t="str">
        <f t="shared" si="120"/>
        <v>10 Madison Square West</v>
      </c>
      <c r="C803" s="1" t="s">
        <v>56</v>
      </c>
      <c r="D803" s="1" t="s">
        <v>41</v>
      </c>
      <c r="E803" s="3">
        <v>6414975</v>
      </c>
      <c r="F803" s="1">
        <v>2682.9673776662398</v>
      </c>
      <c r="M803" s="4">
        <v>2391</v>
      </c>
      <c r="Q803" s="1" t="s">
        <v>42</v>
      </c>
      <c r="S803" s="1" t="s">
        <v>42</v>
      </c>
      <c r="T803" s="1" t="s">
        <v>153</v>
      </c>
      <c r="AA803" s="1">
        <v>6414975</v>
      </c>
      <c r="AB803" s="1" t="s">
        <v>682</v>
      </c>
      <c r="AC803" s="5">
        <v>42338</v>
      </c>
      <c r="AF803" s="1">
        <v>10010</v>
      </c>
      <c r="AI803" s="1" t="s">
        <v>45</v>
      </c>
      <c r="AJ803" s="1">
        <v>1915</v>
      </c>
      <c r="AK803" s="1" t="s">
        <v>49</v>
      </c>
      <c r="AL803" s="1">
        <v>125</v>
      </c>
    </row>
    <row r="804" spans="1:38" x14ac:dyDescent="0.2">
      <c r="A804" s="2" t="str">
        <f>HYPERLINK("https://www.compass.com/listing/10-madison-square-west-unit-7f-manhattan-ny-10010/29374728061971105/","10 Madison Sq W, Unit 7F")</f>
        <v>10 Madison Sq W, Unit 7F</v>
      </c>
      <c r="B804" s="2" t="str">
        <f t="shared" si="120"/>
        <v>10 Madison Square West</v>
      </c>
      <c r="C804" s="1" t="s">
        <v>56</v>
      </c>
      <c r="D804" s="1" t="s">
        <v>41</v>
      </c>
      <c r="E804" s="3">
        <v>12880863</v>
      </c>
      <c r="F804" s="1">
        <v>2714.61801896733</v>
      </c>
      <c r="M804" s="4">
        <v>4745</v>
      </c>
      <c r="Q804" s="1" t="s">
        <v>42</v>
      </c>
      <c r="S804" s="1" t="s">
        <v>42</v>
      </c>
      <c r="T804" s="1" t="s">
        <v>153</v>
      </c>
      <c r="AA804" s="1">
        <v>12880862.5</v>
      </c>
      <c r="AB804" s="1" t="s">
        <v>683</v>
      </c>
      <c r="AC804" s="5">
        <v>42353</v>
      </c>
      <c r="AF804" s="1">
        <v>10010</v>
      </c>
      <c r="AI804" s="1" t="s">
        <v>45</v>
      </c>
      <c r="AJ804" s="1">
        <v>1915</v>
      </c>
      <c r="AK804" s="1" t="s">
        <v>49</v>
      </c>
      <c r="AL804" s="1">
        <v>125</v>
      </c>
    </row>
    <row r="805" spans="1:38" x14ac:dyDescent="0.2">
      <c r="A805" s="2" t="str">
        <f>HYPERLINK("https://www.compass.com/listing/10-madison-square-west-unit-8e-manhattan-ny-10010/29374730075237057/","10 Madison Sq W, Unit 8E")</f>
        <v>10 Madison Sq W, Unit 8E</v>
      </c>
      <c r="B805" s="2" t="str">
        <f t="shared" si="120"/>
        <v>10 Madison Square West</v>
      </c>
      <c r="C805" s="1" t="s">
        <v>56</v>
      </c>
      <c r="D805" s="1" t="s">
        <v>41</v>
      </c>
      <c r="E805" s="3">
        <v>8706038</v>
      </c>
      <c r="F805" s="1">
        <v>3032.4059561128502</v>
      </c>
      <c r="M805" s="4">
        <v>2871</v>
      </c>
      <c r="Q805" s="1" t="s">
        <v>42</v>
      </c>
      <c r="S805" s="1" t="s">
        <v>42</v>
      </c>
      <c r="T805" s="1" t="s">
        <v>153</v>
      </c>
      <c r="AA805" s="1">
        <v>8706037.5</v>
      </c>
      <c r="AB805" s="1" t="s">
        <v>684</v>
      </c>
      <c r="AC805" s="5">
        <v>42482</v>
      </c>
      <c r="AF805" s="1">
        <v>10010</v>
      </c>
      <c r="AI805" s="1" t="s">
        <v>45</v>
      </c>
      <c r="AJ805" s="1">
        <v>1915</v>
      </c>
      <c r="AK805" s="1" t="s">
        <v>49</v>
      </c>
      <c r="AL805" s="1">
        <v>125</v>
      </c>
    </row>
    <row r="806" spans="1:38" x14ac:dyDescent="0.2">
      <c r="A806" s="2" t="str">
        <f>HYPERLINK("https://www.compass.com/listing/10-madison-square-west-unit-9d-manhattan-ny-10010/29374732340162449/","10 Madison Sq W, Unit 9D")</f>
        <v>10 Madison Sq W, Unit 9D</v>
      </c>
      <c r="B806" s="2" t="str">
        <f t="shared" si="120"/>
        <v>10 Madison Square West</v>
      </c>
      <c r="C806" s="1" t="s">
        <v>56</v>
      </c>
      <c r="D806" s="1" t="s">
        <v>41</v>
      </c>
      <c r="E806" s="3">
        <v>9316988</v>
      </c>
      <c r="F806" s="1">
        <v>2815.6504986400701</v>
      </c>
      <c r="M806" s="4">
        <v>3309</v>
      </c>
      <c r="Q806" s="1" t="s">
        <v>42</v>
      </c>
      <c r="S806" s="1" t="s">
        <v>42</v>
      </c>
      <c r="T806" s="1" t="s">
        <v>153</v>
      </c>
      <c r="AA806" s="1">
        <v>9316987.5</v>
      </c>
      <c r="AB806" s="1" t="s">
        <v>685</v>
      </c>
      <c r="AC806" s="5">
        <v>42355</v>
      </c>
      <c r="AF806" s="1">
        <v>10010</v>
      </c>
      <c r="AI806" s="1" t="s">
        <v>45</v>
      </c>
      <c r="AJ806" s="1">
        <v>1915</v>
      </c>
      <c r="AK806" s="1" t="s">
        <v>49</v>
      </c>
      <c r="AL806" s="1">
        <v>125</v>
      </c>
    </row>
    <row r="807" spans="1:38" x14ac:dyDescent="0.2">
      <c r="A807" s="2" t="str">
        <f>HYPERLINK("https://www.compass.com/listing/10-madison-square-west-unit-9e-manhattan-ny-10010/29374732684038993/","10 Madison Sq W, Unit 9E")</f>
        <v>10 Madison Sq W, Unit 9E</v>
      </c>
      <c r="B807" s="2" t="str">
        <f t="shared" si="120"/>
        <v>10 Madison Square West</v>
      </c>
      <c r="C807" s="1" t="s">
        <v>56</v>
      </c>
      <c r="D807" s="1" t="s">
        <v>41</v>
      </c>
      <c r="E807" s="3">
        <v>7771500</v>
      </c>
      <c r="F807" s="1">
        <v>3311.24840221559</v>
      </c>
      <c r="M807" s="4">
        <v>2347</v>
      </c>
      <c r="Q807" s="1" t="s">
        <v>42</v>
      </c>
      <c r="S807" s="1" t="s">
        <v>42</v>
      </c>
      <c r="T807" s="1" t="s">
        <v>153</v>
      </c>
      <c r="AA807" s="1">
        <v>7771500</v>
      </c>
      <c r="AB807" s="1" t="s">
        <v>686</v>
      </c>
      <c r="AC807" s="5">
        <v>42306</v>
      </c>
      <c r="AF807" s="1">
        <v>10010</v>
      </c>
      <c r="AI807" s="1" t="s">
        <v>45</v>
      </c>
      <c r="AJ807" s="1">
        <v>1915</v>
      </c>
      <c r="AK807" s="1" t="s">
        <v>49</v>
      </c>
      <c r="AL807" s="1">
        <v>125</v>
      </c>
    </row>
    <row r="808" spans="1:38" x14ac:dyDescent="0.2">
      <c r="A808" s="2" t="str">
        <f>HYPERLINK("https://www.compass.com/listing/10-madison-square-west-unit-10a-manhattan-ny-10010/29374733715837793/","10 Madison Sq W, Unit 10A")</f>
        <v>10 Madison Sq W, Unit 10A</v>
      </c>
      <c r="B808" s="2" t="str">
        <f t="shared" si="120"/>
        <v>10 Madison Square West</v>
      </c>
      <c r="C808" s="1" t="s">
        <v>56</v>
      </c>
      <c r="D808" s="1" t="s">
        <v>41</v>
      </c>
      <c r="E808" s="3">
        <v>5345813</v>
      </c>
      <c r="F808" s="1">
        <v>2424.4047619047601</v>
      </c>
      <c r="M808" s="4">
        <v>2205</v>
      </c>
      <c r="Q808" s="1" t="s">
        <v>42</v>
      </c>
      <c r="S808" s="1" t="s">
        <v>42</v>
      </c>
      <c r="T808" s="1" t="s">
        <v>153</v>
      </c>
      <c r="AA808" s="1">
        <v>5345812.5</v>
      </c>
      <c r="AB808" s="1" t="s">
        <v>687</v>
      </c>
      <c r="AC808" s="5">
        <v>42482</v>
      </c>
      <c r="AF808" s="1">
        <v>10010</v>
      </c>
      <c r="AI808" s="1" t="s">
        <v>45</v>
      </c>
      <c r="AJ808" s="1">
        <v>1915</v>
      </c>
      <c r="AK808" s="1" t="s">
        <v>49</v>
      </c>
      <c r="AL808" s="1">
        <v>125</v>
      </c>
    </row>
    <row r="809" spans="1:38" x14ac:dyDescent="0.2">
      <c r="A809" s="2" t="str">
        <f>HYPERLINK("https://www.compass.com/listing/10-madison-square-west-unit-10d-manhattan-ny-10010/29374734680527729/","10 Madison Sq W, Unit 10D")</f>
        <v>10 Madison Sq W, Unit 10D</v>
      </c>
      <c r="B809" s="2" t="str">
        <f t="shared" si="120"/>
        <v>10 Madison Square West</v>
      </c>
      <c r="C809" s="1" t="s">
        <v>56</v>
      </c>
      <c r="D809" s="1" t="s">
        <v>41</v>
      </c>
      <c r="E809" s="3">
        <v>9724288</v>
      </c>
      <c r="F809" s="1">
        <v>2938.7390450286998</v>
      </c>
      <c r="M809" s="4">
        <v>3309</v>
      </c>
      <c r="Q809" s="1" t="s">
        <v>42</v>
      </c>
      <c r="S809" s="1" t="s">
        <v>42</v>
      </c>
      <c r="T809" s="1" t="s">
        <v>153</v>
      </c>
      <c r="AA809" s="1">
        <v>9724287.5</v>
      </c>
      <c r="AB809" s="1" t="s">
        <v>688</v>
      </c>
      <c r="AC809" s="5">
        <v>42474</v>
      </c>
      <c r="AF809" s="1">
        <v>10010</v>
      </c>
      <c r="AI809" s="1" t="s">
        <v>45</v>
      </c>
      <c r="AJ809" s="1">
        <v>1915</v>
      </c>
      <c r="AK809" s="1" t="s">
        <v>49</v>
      </c>
      <c r="AL809" s="1">
        <v>125</v>
      </c>
    </row>
    <row r="810" spans="1:38" x14ac:dyDescent="0.2">
      <c r="A810" s="2" t="str">
        <f>HYPERLINK("https://www.compass.com/listing/10-madison-square-west-unit-11a-manhattan-ny-10010/29374735796212609/","10 Madison Sq W, Unit 11A")</f>
        <v>10 Madison Sq W, Unit 11A</v>
      </c>
      <c r="B810" s="2" t="str">
        <f t="shared" si="120"/>
        <v>10 Madison Square West</v>
      </c>
      <c r="C810" s="1" t="s">
        <v>56</v>
      </c>
      <c r="D810" s="1" t="s">
        <v>41</v>
      </c>
      <c r="E810" s="3">
        <v>5396725</v>
      </c>
      <c r="F810" s="1">
        <v>2447.49433106575</v>
      </c>
      <c r="M810" s="4">
        <v>2205</v>
      </c>
      <c r="Q810" s="1" t="s">
        <v>42</v>
      </c>
      <c r="S810" s="1" t="s">
        <v>42</v>
      </c>
      <c r="T810" s="1" t="s">
        <v>153</v>
      </c>
      <c r="AA810" s="1">
        <v>5396725</v>
      </c>
      <c r="AB810" s="1" t="s">
        <v>689</v>
      </c>
      <c r="AC810" s="5">
        <v>42524</v>
      </c>
      <c r="AF810" s="1">
        <v>10010</v>
      </c>
      <c r="AI810" s="1" t="s">
        <v>45</v>
      </c>
      <c r="AJ810" s="1">
        <v>1915</v>
      </c>
      <c r="AK810" s="1" t="s">
        <v>49</v>
      </c>
      <c r="AL810" s="1">
        <v>125</v>
      </c>
    </row>
    <row r="811" spans="1:38" x14ac:dyDescent="0.2">
      <c r="A811" s="2" t="str">
        <f>HYPERLINK("https://www.compass.com/listing/10-madison-square-west-unit-11d-manhattan-ny-10010/29374736475746257/","10 Madison Sq W, Unit 11D")</f>
        <v>10 Madison Sq W, Unit 11D</v>
      </c>
      <c r="B811" s="2" t="str">
        <f t="shared" si="120"/>
        <v>10 Madison Square West</v>
      </c>
      <c r="C811" s="1" t="s">
        <v>56</v>
      </c>
      <c r="D811" s="1" t="s">
        <v>41</v>
      </c>
      <c r="E811" s="3">
        <v>11964438</v>
      </c>
      <c r="F811" s="1">
        <v>3615.7260501662099</v>
      </c>
      <c r="M811" s="4">
        <v>3309</v>
      </c>
      <c r="Q811" s="1" t="s">
        <v>42</v>
      </c>
      <c r="S811" s="1" t="s">
        <v>42</v>
      </c>
      <c r="T811" s="1" t="s">
        <v>153</v>
      </c>
      <c r="AA811" s="1">
        <v>11964437.5</v>
      </c>
      <c r="AB811" s="1" t="s">
        <v>690</v>
      </c>
      <c r="AC811" s="5">
        <v>42527</v>
      </c>
      <c r="AF811" s="1">
        <v>10010</v>
      </c>
      <c r="AI811" s="1" t="s">
        <v>45</v>
      </c>
      <c r="AJ811" s="1">
        <v>1915</v>
      </c>
      <c r="AK811" s="1" t="s">
        <v>49</v>
      </c>
      <c r="AL811" s="1">
        <v>125</v>
      </c>
    </row>
    <row r="812" spans="1:38" x14ac:dyDescent="0.2">
      <c r="A812" s="2" t="str">
        <f>HYPERLINK("https://www.compass.com/listing/10-madison-square-west-unit-12e-manhattan-ny-10010/29374739537587073/","10 Madison Sq W, Unit 12E")</f>
        <v>10 Madison Sq W, Unit 12E</v>
      </c>
      <c r="B812" s="2" t="str">
        <f t="shared" si="120"/>
        <v>10 Madison Square West</v>
      </c>
      <c r="C812" s="1" t="s">
        <v>56</v>
      </c>
      <c r="D812" s="1" t="s">
        <v>41</v>
      </c>
      <c r="E812" s="3">
        <v>8655125</v>
      </c>
      <c r="F812" s="1">
        <v>3687.73966766084</v>
      </c>
      <c r="M812" s="4">
        <v>2347</v>
      </c>
      <c r="Q812" s="1" t="s">
        <v>42</v>
      </c>
      <c r="S812" s="1" t="s">
        <v>42</v>
      </c>
      <c r="T812" s="1" t="s">
        <v>153</v>
      </c>
      <c r="AA812" s="1">
        <v>8655125</v>
      </c>
      <c r="AB812" s="1" t="s">
        <v>691</v>
      </c>
      <c r="AC812" s="5">
        <v>42524</v>
      </c>
      <c r="AF812" s="1">
        <v>10010</v>
      </c>
      <c r="AI812" s="1" t="s">
        <v>45</v>
      </c>
      <c r="AJ812" s="1">
        <v>1915</v>
      </c>
      <c r="AK812" s="1" t="s">
        <v>49</v>
      </c>
      <c r="AL812" s="1">
        <v>125</v>
      </c>
    </row>
    <row r="813" spans="1:38" x14ac:dyDescent="0.2">
      <c r="A813" s="2" t="str">
        <f>HYPERLINK("https://www.compass.com/listing/10-madison-square-west-unit-12f-manhattan-ny-10010/29374739847966737/","10 Madison Sq W, Unit 12F")</f>
        <v>10 Madison Sq W, Unit 12F</v>
      </c>
      <c r="B813" s="2" t="str">
        <f t="shared" si="120"/>
        <v>10 Madison Square West</v>
      </c>
      <c r="C813" s="1" t="s">
        <v>56</v>
      </c>
      <c r="D813" s="1" t="s">
        <v>41</v>
      </c>
      <c r="E813" s="3">
        <v>7178663</v>
      </c>
      <c r="F813" s="1">
        <v>2547.43168914123</v>
      </c>
      <c r="M813" s="4">
        <v>2818</v>
      </c>
      <c r="Q813" s="1" t="s">
        <v>42</v>
      </c>
      <c r="S813" s="1" t="s">
        <v>42</v>
      </c>
      <c r="T813" s="1" t="s">
        <v>153</v>
      </c>
      <c r="AA813" s="1">
        <v>7178662.5</v>
      </c>
      <c r="AB813" s="1" t="s">
        <v>692</v>
      </c>
      <c r="AC813" s="5">
        <v>42475</v>
      </c>
      <c r="AF813" s="1">
        <v>10010</v>
      </c>
      <c r="AI813" s="1" t="s">
        <v>45</v>
      </c>
      <c r="AJ813" s="1">
        <v>1915</v>
      </c>
      <c r="AK813" s="1" t="s">
        <v>49</v>
      </c>
      <c r="AL813" s="1">
        <v>125</v>
      </c>
    </row>
    <row r="814" spans="1:38" x14ac:dyDescent="0.2">
      <c r="A814" s="2" t="str">
        <f>HYPERLINK("https://www.compass.com/listing/10-madison-square-west-unit-14a-manhattan-ny-10010/29374740560997265/","10 Madison Sq W, Unit 14A")</f>
        <v>10 Madison Sq W, Unit 14A</v>
      </c>
      <c r="B814" s="2" t="str">
        <f t="shared" si="120"/>
        <v>10 Madison Square West</v>
      </c>
      <c r="C814" s="1" t="s">
        <v>56</v>
      </c>
      <c r="D814" s="1" t="s">
        <v>41</v>
      </c>
      <c r="E814" s="3">
        <v>4919444</v>
      </c>
      <c r="F814" s="1">
        <v>2231.0402494331001</v>
      </c>
      <c r="M814" s="4">
        <v>2205</v>
      </c>
      <c r="Q814" s="1" t="s">
        <v>42</v>
      </c>
      <c r="S814" s="1" t="s">
        <v>42</v>
      </c>
      <c r="T814" s="1" t="s">
        <v>153</v>
      </c>
      <c r="AA814" s="1">
        <v>4919443.75</v>
      </c>
      <c r="AB814" s="1" t="s">
        <v>693</v>
      </c>
      <c r="AC814" s="5">
        <v>42548</v>
      </c>
      <c r="AF814" s="1">
        <v>10010</v>
      </c>
      <c r="AI814" s="1" t="s">
        <v>45</v>
      </c>
      <c r="AJ814" s="1">
        <v>1915</v>
      </c>
      <c r="AK814" s="1" t="s">
        <v>49</v>
      </c>
      <c r="AL814" s="1">
        <v>125</v>
      </c>
    </row>
    <row r="815" spans="1:38" x14ac:dyDescent="0.2">
      <c r="A815" s="2" t="str">
        <f>HYPERLINK("https://www.compass.com/listing/10-madison-square-west-unit-16a-manhattan-ny-10010/29374747204719729/","10 Madison Sq W, Unit 16A")</f>
        <v>10 Madison Sq W, Unit 16A</v>
      </c>
      <c r="B815" s="2" t="str">
        <f t="shared" si="120"/>
        <v>10 Madison Square West</v>
      </c>
      <c r="C815" s="1" t="s">
        <v>56</v>
      </c>
      <c r="D815" s="1" t="s">
        <v>41</v>
      </c>
      <c r="E815" s="3">
        <v>6720450</v>
      </c>
      <c r="F815" s="1">
        <v>3047.8231292516998</v>
      </c>
      <c r="M815" s="4">
        <v>2205</v>
      </c>
      <c r="Q815" s="1" t="s">
        <v>42</v>
      </c>
      <c r="S815" s="1" t="s">
        <v>42</v>
      </c>
      <c r="T815" s="1" t="s">
        <v>153</v>
      </c>
      <c r="AA815" s="1">
        <v>6720450</v>
      </c>
      <c r="AB815" s="1" t="s">
        <v>694</v>
      </c>
      <c r="AC815" s="5">
        <v>42678</v>
      </c>
      <c r="AF815" s="1">
        <v>10010</v>
      </c>
      <c r="AI815" s="1" t="s">
        <v>45</v>
      </c>
      <c r="AJ815" s="1">
        <v>1915</v>
      </c>
      <c r="AK815" s="1" t="s">
        <v>49</v>
      </c>
      <c r="AL815" s="1">
        <v>125</v>
      </c>
    </row>
    <row r="816" spans="1:38" x14ac:dyDescent="0.2">
      <c r="A816" s="2" t="str">
        <f>HYPERLINK("https://www.compass.com/listing/10-madison-square-west-unit-16f-manhattan-ny-10010/29374748924440817/","10 Madison Sq W, Unit 16F")</f>
        <v>10 Madison Sq W, Unit 16F</v>
      </c>
      <c r="B816" s="2" t="str">
        <f t="shared" si="120"/>
        <v>10 Madison Square West</v>
      </c>
      <c r="C816" s="1" t="s">
        <v>56</v>
      </c>
      <c r="D816" s="1" t="s">
        <v>41</v>
      </c>
      <c r="E816" s="3">
        <v>7229575</v>
      </c>
      <c r="F816" s="1">
        <v>2565.4985805535798</v>
      </c>
      <c r="M816" s="4">
        <v>2818</v>
      </c>
      <c r="Q816" s="1" t="s">
        <v>42</v>
      </c>
      <c r="S816" s="1" t="s">
        <v>42</v>
      </c>
      <c r="T816" s="1" t="s">
        <v>153</v>
      </c>
      <c r="AA816" s="1">
        <v>7229575</v>
      </c>
      <c r="AB816" s="1" t="s">
        <v>695</v>
      </c>
      <c r="AC816" s="5">
        <v>42579</v>
      </c>
      <c r="AF816" s="1">
        <v>10010</v>
      </c>
      <c r="AI816" s="1" t="s">
        <v>45</v>
      </c>
      <c r="AJ816" s="1">
        <v>1915</v>
      </c>
      <c r="AK816" s="1" t="s">
        <v>49</v>
      </c>
      <c r="AL816" s="1">
        <v>125</v>
      </c>
    </row>
    <row r="817" spans="1:38" x14ac:dyDescent="0.2">
      <c r="A817" s="2" t="str">
        <f>HYPERLINK("https://www.compass.com/listing/10-madison-square-west-unit-17a-manhattan-ny-10010/29374749587139633/","10 Madison Sq W, Unit 17A")</f>
        <v>10 Madison Sq W, Unit 17A</v>
      </c>
      <c r="B817" s="2" t="str">
        <f t="shared" si="120"/>
        <v>10 Madison Square West</v>
      </c>
      <c r="C817" s="1" t="s">
        <v>56</v>
      </c>
      <c r="D817" s="1" t="s">
        <v>41</v>
      </c>
      <c r="E817" s="3">
        <v>5294900</v>
      </c>
      <c r="F817" s="1">
        <v>2401.3151927437598</v>
      </c>
      <c r="M817" s="4">
        <v>2205</v>
      </c>
      <c r="Q817" s="1" t="s">
        <v>42</v>
      </c>
      <c r="S817" s="1" t="s">
        <v>42</v>
      </c>
      <c r="T817" s="1" t="s">
        <v>153</v>
      </c>
      <c r="AA817" s="1">
        <v>5294900</v>
      </c>
      <c r="AB817" s="1" t="s">
        <v>696</v>
      </c>
      <c r="AC817" s="5">
        <v>42873</v>
      </c>
      <c r="AF817" s="1">
        <v>10010</v>
      </c>
      <c r="AI817" s="1" t="s">
        <v>45</v>
      </c>
      <c r="AJ817" s="1">
        <v>1915</v>
      </c>
      <c r="AK817" s="1" t="s">
        <v>49</v>
      </c>
      <c r="AL817" s="1">
        <v>125</v>
      </c>
    </row>
    <row r="818" spans="1:38" x14ac:dyDescent="0.2">
      <c r="A818" s="2" t="str">
        <f>HYPERLINK("https://www.compass.com/listing/10-madison-square-west-unit-17f-manhattan-ny-10010/29374751315137745/","10 Madison Sq W, Unit 17F")</f>
        <v>10 Madison Sq W, Unit 17F</v>
      </c>
      <c r="B818" s="2" t="str">
        <f t="shared" si="120"/>
        <v>10 Madison Square West</v>
      </c>
      <c r="C818" s="1" t="s">
        <v>56</v>
      </c>
      <c r="D818" s="1" t="s">
        <v>41</v>
      </c>
      <c r="E818" s="3">
        <v>7280488</v>
      </c>
      <c r="F818" s="1">
        <v>2583.5654719659301</v>
      </c>
      <c r="M818" s="4">
        <v>2818</v>
      </c>
      <c r="Q818" s="1" t="s">
        <v>42</v>
      </c>
      <c r="S818" s="1" t="s">
        <v>42</v>
      </c>
      <c r="T818" s="1" t="s">
        <v>153</v>
      </c>
      <c r="AA818" s="1">
        <v>7280487.5</v>
      </c>
      <c r="AB818" s="1" t="s">
        <v>697</v>
      </c>
      <c r="AC818" s="5">
        <v>42705</v>
      </c>
      <c r="AF818" s="1">
        <v>10010</v>
      </c>
      <c r="AI818" s="1" t="s">
        <v>45</v>
      </c>
      <c r="AJ818" s="1">
        <v>1915</v>
      </c>
      <c r="AK818" s="1" t="s">
        <v>49</v>
      </c>
      <c r="AL818" s="1">
        <v>125</v>
      </c>
    </row>
    <row r="819" spans="1:38" x14ac:dyDescent="0.2">
      <c r="A819" s="2" t="str">
        <f>HYPERLINK("https://www.compass.com/listing/10-madison-square-west-unit-19b-manhattan-ny-10010/29374752321770721/","10 Madison Sq W, Unit 19B")</f>
        <v>10 Madison Sq W, Unit 19B</v>
      </c>
      <c r="B819" s="2" t="str">
        <f t="shared" si="120"/>
        <v>10 Madison Square West</v>
      </c>
      <c r="C819" s="1" t="s">
        <v>56</v>
      </c>
      <c r="D819" s="1" t="s">
        <v>41</v>
      </c>
      <c r="E819" s="3">
        <v>11007283</v>
      </c>
      <c r="F819" s="1">
        <v>3399.4078134650999</v>
      </c>
      <c r="M819" s="4">
        <v>3238</v>
      </c>
      <c r="Q819" s="1" t="s">
        <v>42</v>
      </c>
      <c r="S819" s="1" t="s">
        <v>42</v>
      </c>
      <c r="T819" s="1" t="s">
        <v>153</v>
      </c>
      <c r="AA819" s="1">
        <v>11007282.5</v>
      </c>
      <c r="AB819" s="1" t="s">
        <v>698</v>
      </c>
      <c r="AC819" s="5">
        <v>42845</v>
      </c>
      <c r="AF819" s="1">
        <v>10010</v>
      </c>
      <c r="AI819" s="1" t="s">
        <v>45</v>
      </c>
      <c r="AJ819" s="1">
        <v>1915</v>
      </c>
      <c r="AK819" s="1" t="s">
        <v>49</v>
      </c>
      <c r="AL819" s="1">
        <v>125</v>
      </c>
    </row>
    <row r="820" spans="1:38" x14ac:dyDescent="0.2">
      <c r="A820" s="2" t="str">
        <f>HYPERLINK("https://www.compass.com/listing/10-madison-square-west-unit-20b-manhattan-ny-10010/29374753529730289/","10 Madison Sq W, Unit 20B")</f>
        <v>10 Madison Sq W, Unit 20B</v>
      </c>
      <c r="B820" s="2" t="str">
        <f t="shared" si="120"/>
        <v>10 Madison Square West</v>
      </c>
      <c r="C820" s="1" t="s">
        <v>56</v>
      </c>
      <c r="D820" s="1" t="s">
        <v>41</v>
      </c>
      <c r="E820" s="3">
        <v>12728125</v>
      </c>
      <c r="F820" s="1">
        <v>3930.8600988264302</v>
      </c>
      <c r="M820" s="4">
        <v>3238</v>
      </c>
      <c r="Q820" s="1" t="s">
        <v>42</v>
      </c>
      <c r="S820" s="1" t="s">
        <v>42</v>
      </c>
      <c r="T820" s="1" t="s">
        <v>153</v>
      </c>
      <c r="AA820" s="1">
        <v>12728125</v>
      </c>
      <c r="AB820" s="1" t="s">
        <v>699</v>
      </c>
      <c r="AC820" s="5">
        <v>42850</v>
      </c>
      <c r="AF820" s="1">
        <v>10010</v>
      </c>
      <c r="AI820" s="1" t="s">
        <v>45</v>
      </c>
      <c r="AJ820" s="1">
        <v>1915</v>
      </c>
      <c r="AK820" s="1" t="s">
        <v>49</v>
      </c>
      <c r="AL820" s="1">
        <v>125</v>
      </c>
    </row>
    <row r="821" spans="1:38" x14ac:dyDescent="0.2">
      <c r="A821" s="2" t="str">
        <f>HYPERLINK("https://www.compass.com/listing/10-madison-square-west-unit-21c-manhattan-ny-10010/29374755148786849/","10 Madison Sq W, Unit 21C")</f>
        <v>10 Madison Sq W, Unit 21C</v>
      </c>
      <c r="B821" s="2" t="str">
        <f t="shared" si="120"/>
        <v>10 Madison Square West</v>
      </c>
      <c r="C821" s="1" t="s">
        <v>56</v>
      </c>
      <c r="D821" s="1" t="s">
        <v>41</v>
      </c>
      <c r="E821" s="3">
        <v>10691625</v>
      </c>
      <c r="F821" s="1">
        <v>4230.9556786703597</v>
      </c>
      <c r="M821" s="4">
        <v>2527</v>
      </c>
      <c r="Q821" s="1" t="s">
        <v>42</v>
      </c>
      <c r="S821" s="1" t="s">
        <v>42</v>
      </c>
      <c r="T821" s="1" t="s">
        <v>153</v>
      </c>
      <c r="AA821" s="1">
        <v>10691625</v>
      </c>
      <c r="AB821" s="1" t="s">
        <v>700</v>
      </c>
      <c r="AC821" s="5">
        <v>42789</v>
      </c>
      <c r="AF821" s="1">
        <v>10010</v>
      </c>
      <c r="AI821" s="1" t="s">
        <v>45</v>
      </c>
      <c r="AJ821" s="1">
        <v>1915</v>
      </c>
      <c r="AK821" s="1" t="s">
        <v>49</v>
      </c>
      <c r="AL821" s="1">
        <v>125</v>
      </c>
    </row>
    <row r="822" spans="1:38" x14ac:dyDescent="0.2">
      <c r="A822" s="2" t="str">
        <f>HYPERLINK("https://www.compass.com/listing/10-madison-square-west-unit-ph2-manhattan-ny-10010/29374755467555169/","10 Madison Sq W, Unit PH2")</f>
        <v>10 Madison Sq W, Unit PH2</v>
      </c>
      <c r="B822" s="2" t="str">
        <f t="shared" si="120"/>
        <v>10 Madison Square West</v>
      </c>
      <c r="C822" s="1" t="s">
        <v>56</v>
      </c>
      <c r="D822" s="1" t="s">
        <v>41</v>
      </c>
      <c r="E822" s="3">
        <v>33093125</v>
      </c>
      <c r="F822" s="1">
        <v>5079.5280122793502</v>
      </c>
      <c r="M822" s="4">
        <v>6515</v>
      </c>
      <c r="Q822" s="1" t="s">
        <v>42</v>
      </c>
      <c r="S822" s="1" t="s">
        <v>42</v>
      </c>
      <c r="T822" s="1" t="s">
        <v>153</v>
      </c>
      <c r="AA822" s="1">
        <v>33093125</v>
      </c>
      <c r="AB822" s="1" t="s">
        <v>701</v>
      </c>
      <c r="AC822" s="5">
        <v>42629</v>
      </c>
      <c r="AF822" s="1">
        <v>10010</v>
      </c>
      <c r="AI822" s="1" t="s">
        <v>45</v>
      </c>
      <c r="AJ822" s="1">
        <v>1915</v>
      </c>
      <c r="AK822" s="1" t="s">
        <v>49</v>
      </c>
      <c r="AL822" s="1">
        <v>125</v>
      </c>
    </row>
    <row r="823" spans="1:38" x14ac:dyDescent="0.2">
      <c r="A823" s="2" t="str">
        <f>HYPERLINK("https://www.compass.com/listing/10-madison-square-west-unit-ph-manhattan-ny-10010/29374755819820321/","10 Madison Sq W, Unit PH")</f>
        <v>10 Madison Sq W, Unit PH</v>
      </c>
      <c r="B823" s="2" t="str">
        <f t="shared" si="120"/>
        <v>10 Madison Square West</v>
      </c>
      <c r="C823" s="1" t="s">
        <v>56</v>
      </c>
      <c r="D823" s="1" t="s">
        <v>41</v>
      </c>
      <c r="E823" s="3">
        <v>36573875</v>
      </c>
      <c r="F823" s="1">
        <v>5457.1583109519497</v>
      </c>
      <c r="M823" s="4">
        <v>6702</v>
      </c>
      <c r="Q823" s="1" t="s">
        <v>42</v>
      </c>
      <c r="S823" s="1" t="s">
        <v>42</v>
      </c>
      <c r="T823" s="1" t="s">
        <v>153</v>
      </c>
      <c r="AA823" s="1">
        <v>36573875</v>
      </c>
      <c r="AB823" s="1" t="s">
        <v>702</v>
      </c>
      <c r="AC823" s="5">
        <v>42634</v>
      </c>
      <c r="AF823" s="1">
        <v>10010</v>
      </c>
      <c r="AI823" s="1" t="s">
        <v>45</v>
      </c>
      <c r="AJ823" s="1">
        <v>1915</v>
      </c>
      <c r="AK823" s="1" t="s">
        <v>49</v>
      </c>
      <c r="AL823" s="1">
        <v>125</v>
      </c>
    </row>
    <row r="824" spans="1:38" x14ac:dyDescent="0.2">
      <c r="A824" s="2" t="str">
        <f>HYPERLINK("https://www.compass.com/listing/10-madison-square-west-unit-19b-manhattan-ny-10010/820739274946912569/","10 Madison Sq W, Unit 19B")</f>
        <v>10 Madison Sq W, Unit 19B</v>
      </c>
      <c r="B824" s="2" t="str">
        <f t="shared" si="120"/>
        <v>10 Madison Square West</v>
      </c>
      <c r="C824" s="1" t="s">
        <v>56</v>
      </c>
      <c r="D824" s="1" t="s">
        <v>41</v>
      </c>
      <c r="E824" s="3">
        <v>12750000</v>
      </c>
      <c r="F824" s="1">
        <v>3937.6158122297702</v>
      </c>
      <c r="M824" s="4">
        <v>3238</v>
      </c>
      <c r="Q824" s="1" t="s">
        <v>42</v>
      </c>
      <c r="S824" s="1" t="s">
        <v>42</v>
      </c>
      <c r="T824" s="1" t="s">
        <v>153</v>
      </c>
      <c r="AA824" s="1">
        <v>12750000</v>
      </c>
      <c r="AB824" s="1" t="s">
        <v>703</v>
      </c>
      <c r="AC824" s="5">
        <v>44371</v>
      </c>
      <c r="AF824" s="1">
        <v>10010</v>
      </c>
      <c r="AI824" s="1" t="s">
        <v>45</v>
      </c>
      <c r="AJ824" s="1">
        <v>1915</v>
      </c>
      <c r="AK824" s="1" t="s">
        <v>49</v>
      </c>
      <c r="AL824" s="1">
        <v>125</v>
      </c>
    </row>
    <row r="825" spans="1:38" x14ac:dyDescent="0.2">
      <c r="A825" s="2" t="str">
        <f>HYPERLINK("https://www.compass.com/listing/10-madison-square-west-unit-15a-manhattan-ny-10010/850286317781361577/","10 Madison Sq W, Unit 15A")</f>
        <v>10 Madison Sq W, Unit 15A</v>
      </c>
      <c r="B825" s="2" t="str">
        <f t="shared" si="120"/>
        <v>10 Madison Square West</v>
      </c>
      <c r="C825" s="1" t="s">
        <v>56</v>
      </c>
      <c r="D825" s="1" t="s">
        <v>41</v>
      </c>
      <c r="E825" s="3">
        <v>5225000</v>
      </c>
      <c r="F825" s="1">
        <v>2369.61451247165</v>
      </c>
      <c r="M825" s="4">
        <v>2205</v>
      </c>
      <c r="Q825" s="1" t="s">
        <v>42</v>
      </c>
      <c r="S825" s="1" t="s">
        <v>42</v>
      </c>
      <c r="T825" s="1" t="s">
        <v>153</v>
      </c>
      <c r="AA825" s="1">
        <v>5225000</v>
      </c>
      <c r="AB825" s="1" t="s">
        <v>704</v>
      </c>
      <c r="AC825" s="5">
        <v>44336</v>
      </c>
      <c r="AF825" s="1">
        <v>10010</v>
      </c>
      <c r="AI825" s="1" t="s">
        <v>45</v>
      </c>
      <c r="AJ825" s="1">
        <v>1915</v>
      </c>
      <c r="AK825" s="1" t="s">
        <v>49</v>
      </c>
      <c r="AL825" s="1">
        <v>125</v>
      </c>
    </row>
    <row r="826" spans="1:38" x14ac:dyDescent="0.2">
      <c r="A826" s="2" t="str">
        <f>HYPERLINK("https://www.compass.com/listing/180-6th-avenue-unit-6a-manhattan-ny-10013/70924476581233345/","180 6th Ave, Unit 6A")</f>
        <v>180 6th Ave, Unit 6A</v>
      </c>
      <c r="B826" s="2" t="str">
        <f t="shared" ref="B826:B863" si="121">HYPERLINK("https://www.compass.com/building/one-vandam-manhattan-ny/307436879024291493/","One Vandam")</f>
        <v>One Vandam</v>
      </c>
      <c r="C826" s="1" t="s">
        <v>50</v>
      </c>
      <c r="D826" s="1" t="s">
        <v>41</v>
      </c>
      <c r="E826" s="3">
        <v>5300000</v>
      </c>
      <c r="F826" s="1">
        <v>2615.9921026653501</v>
      </c>
      <c r="G826" s="1">
        <v>6</v>
      </c>
      <c r="H826" s="1">
        <v>3</v>
      </c>
      <c r="I826" s="1">
        <v>4</v>
      </c>
      <c r="J826" s="1">
        <v>3.5</v>
      </c>
      <c r="M826" s="4">
        <v>2026</v>
      </c>
      <c r="N826" s="1">
        <v>2754</v>
      </c>
      <c r="O826" s="1">
        <v>4780</v>
      </c>
      <c r="P826" s="1">
        <v>2026</v>
      </c>
      <c r="Q826" s="1" t="s">
        <v>42</v>
      </c>
      <c r="S826" s="1" t="s">
        <v>42</v>
      </c>
      <c r="T826" s="1" t="s">
        <v>153</v>
      </c>
      <c r="U826" s="1">
        <v>9</v>
      </c>
      <c r="V826" s="5">
        <v>43631</v>
      </c>
      <c r="W826" s="5">
        <v>41591</v>
      </c>
      <c r="X826" s="1">
        <v>5300000</v>
      </c>
      <c r="Y826" s="1">
        <v>5300000</v>
      </c>
      <c r="Z826" s="5">
        <v>41600</v>
      </c>
      <c r="AA826" s="1">
        <v>5300000</v>
      </c>
      <c r="AB826" s="1" t="s">
        <v>705</v>
      </c>
      <c r="AC826" s="5">
        <v>42475</v>
      </c>
      <c r="AF826" s="1">
        <v>10013</v>
      </c>
      <c r="AI826" s="1" t="s">
        <v>633</v>
      </c>
      <c r="AJ826" s="1">
        <v>2014</v>
      </c>
      <c r="AK826" s="1" t="s">
        <v>49</v>
      </c>
      <c r="AL826" s="1">
        <v>25</v>
      </c>
    </row>
    <row r="827" spans="1:38" x14ac:dyDescent="0.2">
      <c r="A827" s="2" t="str">
        <f>HYPERLINK("https://www.compass.com/listing/180-6th-avenue-unit-6a-manhattan-ny-10013/29363037546824433/","180 6th Ave, Unit 6A")</f>
        <v>180 6th Ave, Unit 6A</v>
      </c>
      <c r="B827" s="2" t="str">
        <f t="shared" si="121"/>
        <v>One Vandam</v>
      </c>
      <c r="C827" s="1" t="s">
        <v>50</v>
      </c>
      <c r="D827" s="1" t="s">
        <v>41</v>
      </c>
      <c r="E827" s="3">
        <v>5399250</v>
      </c>
      <c r="F827" s="1">
        <v>2664.9802566633698</v>
      </c>
      <c r="G827" s="1">
        <v>6</v>
      </c>
      <c r="H827" s="1">
        <v>3</v>
      </c>
      <c r="I827" s="1">
        <v>4</v>
      </c>
      <c r="J827" s="1">
        <v>0.5</v>
      </c>
      <c r="L827" s="1">
        <v>1</v>
      </c>
      <c r="M827" s="4">
        <v>2026</v>
      </c>
      <c r="N827" s="1">
        <v>2753</v>
      </c>
      <c r="O827" s="1">
        <v>4779</v>
      </c>
      <c r="P827" s="1">
        <v>2026</v>
      </c>
      <c r="Q827" s="1" t="s">
        <v>42</v>
      </c>
      <c r="S827" s="1" t="s">
        <v>42</v>
      </c>
      <c r="T827" s="1" t="s">
        <v>153</v>
      </c>
      <c r="U827" s="1">
        <v>9</v>
      </c>
      <c r="V827" s="5">
        <v>43637</v>
      </c>
      <c r="W827" s="5">
        <v>41591</v>
      </c>
      <c r="X827" s="1">
        <v>5300000</v>
      </c>
      <c r="Y827" s="1">
        <v>5300000</v>
      </c>
      <c r="Z827" s="5">
        <v>41600</v>
      </c>
      <c r="AA827" s="1">
        <v>5399250</v>
      </c>
      <c r="AB827" s="1" t="s">
        <v>705</v>
      </c>
      <c r="AC827" s="5">
        <v>42474</v>
      </c>
      <c r="AF827" s="1">
        <v>10013</v>
      </c>
      <c r="AI827" s="1" t="s">
        <v>85</v>
      </c>
      <c r="AJ827" s="1">
        <v>2014</v>
      </c>
      <c r="AK827" s="1" t="s">
        <v>46</v>
      </c>
      <c r="AL827" s="1">
        <v>25</v>
      </c>
    </row>
    <row r="828" spans="1:38" x14ac:dyDescent="0.2">
      <c r="A828" s="2" t="str">
        <f>HYPERLINK("https://www.compass.com/listing/180-6th-avenue-unit-4d-manhattan-ny-10013/13087410283876673/","180 6th Ave, Unit 4D")</f>
        <v>180 6th Ave, Unit 4D</v>
      </c>
      <c r="B828" s="2" t="str">
        <f t="shared" si="121"/>
        <v>One Vandam</v>
      </c>
      <c r="C828" s="1" t="s">
        <v>50</v>
      </c>
      <c r="D828" s="1" t="s">
        <v>41</v>
      </c>
      <c r="E828" s="3">
        <v>3894806</v>
      </c>
      <c r="F828" s="1">
        <v>2111.0059620596198</v>
      </c>
      <c r="G828" s="1">
        <v>4.5</v>
      </c>
      <c r="H828" s="1">
        <v>2</v>
      </c>
      <c r="I828" s="1">
        <v>3</v>
      </c>
      <c r="J828" s="1">
        <v>2.5</v>
      </c>
      <c r="M828" s="4">
        <v>1845</v>
      </c>
      <c r="N828" s="1">
        <v>2435</v>
      </c>
      <c r="O828" s="1">
        <v>4750</v>
      </c>
      <c r="P828" s="1">
        <v>2315</v>
      </c>
      <c r="Q828" s="1" t="s">
        <v>42</v>
      </c>
      <c r="S828" s="1" t="s">
        <v>42</v>
      </c>
      <c r="T828" s="1" t="s">
        <v>153</v>
      </c>
      <c r="V828" s="5">
        <v>43637</v>
      </c>
      <c r="W828" s="5">
        <v>41629</v>
      </c>
      <c r="X828" s="1">
        <v>3825000</v>
      </c>
      <c r="Y828" s="1">
        <v>3825000</v>
      </c>
      <c r="Z828" s="5">
        <v>41629</v>
      </c>
      <c r="AA828" s="1">
        <v>3894806</v>
      </c>
      <c r="AB828" s="1" t="s">
        <v>706</v>
      </c>
      <c r="AC828" s="5">
        <v>42452</v>
      </c>
      <c r="AF828" s="1">
        <v>10013</v>
      </c>
      <c r="AI828" s="1" t="s">
        <v>51</v>
      </c>
      <c r="AJ828" s="1">
        <v>2014</v>
      </c>
      <c r="AK828" s="1" t="s">
        <v>49</v>
      </c>
      <c r="AL828" s="1">
        <v>25</v>
      </c>
    </row>
    <row r="829" spans="1:38" x14ac:dyDescent="0.2">
      <c r="A829" s="2" t="str">
        <f>HYPERLINK("https://www.compass.com/listing/180-6th-avenue-unit-5d-manhattan-ny-10013/13087412070650849/","180 6th Ave, Unit 5D")</f>
        <v>180 6th Ave, Unit 5D</v>
      </c>
      <c r="B829" s="2" t="str">
        <f t="shared" si="121"/>
        <v>One Vandam</v>
      </c>
      <c r="C829" s="1" t="s">
        <v>50</v>
      </c>
      <c r="D829" s="1" t="s">
        <v>41</v>
      </c>
      <c r="E829" s="3">
        <v>3897331</v>
      </c>
      <c r="F829" s="1">
        <v>2112.3745257452501</v>
      </c>
      <c r="G829" s="1">
        <v>4.5</v>
      </c>
      <c r="H829" s="1">
        <v>2</v>
      </c>
      <c r="I829" s="1">
        <v>3</v>
      </c>
      <c r="J829" s="1">
        <v>2.5</v>
      </c>
      <c r="M829" s="4">
        <v>1845</v>
      </c>
      <c r="N829" s="1">
        <v>2447</v>
      </c>
      <c r="O829" s="1">
        <v>4773</v>
      </c>
      <c r="P829" s="1">
        <v>2326</v>
      </c>
      <c r="Q829" s="1" t="s">
        <v>42</v>
      </c>
      <c r="S829" s="1" t="s">
        <v>42</v>
      </c>
      <c r="T829" s="1" t="s">
        <v>153</v>
      </c>
      <c r="V829" s="5">
        <v>43678</v>
      </c>
      <c r="W829" s="5">
        <v>41629</v>
      </c>
      <c r="X829" s="1">
        <v>3825000</v>
      </c>
      <c r="Y829" s="1">
        <v>3825000</v>
      </c>
      <c r="Z829" s="5">
        <v>41629</v>
      </c>
      <c r="AA829" s="1">
        <v>3897331</v>
      </c>
      <c r="AB829" s="1" t="s">
        <v>707</v>
      </c>
      <c r="AC829" s="5">
        <v>42461</v>
      </c>
      <c r="AF829" s="1">
        <v>10013</v>
      </c>
      <c r="AI829" s="1" t="s">
        <v>633</v>
      </c>
      <c r="AJ829" s="1">
        <v>2014</v>
      </c>
      <c r="AK829" s="1" t="s">
        <v>49</v>
      </c>
      <c r="AL829" s="1">
        <v>25</v>
      </c>
    </row>
    <row r="830" spans="1:38" x14ac:dyDescent="0.2">
      <c r="A830" s="2" t="str">
        <f>HYPERLINK("https://www.compass.com/listing/180-6th-avenue-unit-a7-manhattan-ny-10013/13087392768564849/","180 6th Ave, Unit A7")</f>
        <v>180 6th Ave, Unit A7</v>
      </c>
      <c r="B830" s="2" t="str">
        <f t="shared" si="121"/>
        <v>One Vandam</v>
      </c>
      <c r="C830" s="1" t="s">
        <v>50</v>
      </c>
      <c r="D830" s="1" t="s">
        <v>41</v>
      </c>
      <c r="E830" s="3">
        <v>6000000</v>
      </c>
      <c r="F830" s="1">
        <v>2653.69305616983</v>
      </c>
      <c r="G830" s="1">
        <v>6</v>
      </c>
      <c r="H830" s="1">
        <v>4</v>
      </c>
      <c r="I830" s="1">
        <v>4</v>
      </c>
      <c r="J830" s="1">
        <v>3.5</v>
      </c>
      <c r="M830" s="4">
        <v>2261</v>
      </c>
      <c r="N830" s="1">
        <v>3147</v>
      </c>
      <c r="O830" s="1">
        <v>6103</v>
      </c>
      <c r="P830" s="1">
        <v>2956</v>
      </c>
      <c r="Q830" s="1" t="s">
        <v>42</v>
      </c>
      <c r="S830" s="1" t="s">
        <v>42</v>
      </c>
      <c r="T830" s="1" t="s">
        <v>153</v>
      </c>
      <c r="U830" s="1">
        <v>218</v>
      </c>
      <c r="V830" s="5">
        <v>42633</v>
      </c>
      <c r="W830" s="5">
        <v>42346</v>
      </c>
      <c r="X830" s="1">
        <v>6350000</v>
      </c>
      <c r="Y830" s="1">
        <v>6350000</v>
      </c>
      <c r="Z830" s="5">
        <v>42565</v>
      </c>
      <c r="AA830" s="1">
        <v>6000000</v>
      </c>
      <c r="AB830" s="1" t="s">
        <v>177</v>
      </c>
      <c r="AC830" s="5">
        <v>42633</v>
      </c>
      <c r="AF830" s="1">
        <v>10013</v>
      </c>
      <c r="AI830" s="1" t="s">
        <v>51</v>
      </c>
      <c r="AJ830" s="1">
        <v>2014</v>
      </c>
      <c r="AK830" s="1" t="s">
        <v>49</v>
      </c>
      <c r="AL830" s="1">
        <v>25</v>
      </c>
    </row>
    <row r="831" spans="1:38" x14ac:dyDescent="0.2">
      <c r="A831" s="2" t="str">
        <f>HYPERLINK("https://www.compass.com/listing/180-6th-avenue-unit-6a-manhattan-ny-10013/29363037546824449/","180 6th Ave, Unit 6A")</f>
        <v>180 6th Ave, Unit 6A</v>
      </c>
      <c r="B831" s="2" t="str">
        <f t="shared" si="121"/>
        <v>One Vandam</v>
      </c>
      <c r="C831" s="1" t="s">
        <v>50</v>
      </c>
      <c r="D831" s="1" t="s">
        <v>41</v>
      </c>
      <c r="E831" s="3">
        <v>5000000</v>
      </c>
      <c r="F831" s="1">
        <v>2467.9170779861702</v>
      </c>
      <c r="G831" s="1">
        <v>7.5</v>
      </c>
      <c r="H831" s="1">
        <v>3</v>
      </c>
      <c r="I831" s="1">
        <v>4</v>
      </c>
      <c r="J831" s="1">
        <v>3.5</v>
      </c>
      <c r="K831" s="1">
        <v>3</v>
      </c>
      <c r="L831" s="1">
        <v>1</v>
      </c>
      <c r="M831" s="4">
        <v>2026</v>
      </c>
      <c r="N831" s="1">
        <v>2811</v>
      </c>
      <c r="O831" s="1">
        <v>6244</v>
      </c>
      <c r="P831" s="1">
        <v>3433</v>
      </c>
      <c r="Q831" s="1" t="s">
        <v>42</v>
      </c>
      <c r="S831" s="1" t="s">
        <v>42</v>
      </c>
      <c r="T831" s="1" t="s">
        <v>153</v>
      </c>
      <c r="U831" s="1">
        <v>118</v>
      </c>
      <c r="V831" s="5">
        <v>43638</v>
      </c>
      <c r="W831" s="5">
        <v>42768</v>
      </c>
      <c r="X831" s="1">
        <v>5495000</v>
      </c>
      <c r="Y831" s="1">
        <v>5495000</v>
      </c>
      <c r="Z831" s="5">
        <v>42886</v>
      </c>
      <c r="AA831" s="1">
        <v>5000000</v>
      </c>
      <c r="AB831" s="1" t="s">
        <v>708</v>
      </c>
      <c r="AC831" s="5">
        <v>42934</v>
      </c>
      <c r="AF831" s="1">
        <v>10013</v>
      </c>
      <c r="AI831" s="1" t="s">
        <v>101</v>
      </c>
      <c r="AJ831" s="1">
        <v>2014</v>
      </c>
      <c r="AK831" s="1" t="s">
        <v>46</v>
      </c>
      <c r="AL831" s="1">
        <v>25</v>
      </c>
    </row>
    <row r="832" spans="1:38" x14ac:dyDescent="0.2">
      <c r="A832" s="2" t="str">
        <f>HYPERLINK("https://www.compass.com/listing/180-6th-avenue-unit-10b-manhattan-ny-10013/29676905233932401/","180 6th Ave, Unit 10B")</f>
        <v>180 6th Ave, Unit 10B</v>
      </c>
      <c r="B832" s="2" t="str">
        <f t="shared" si="121"/>
        <v>One Vandam</v>
      </c>
      <c r="C832" s="1" t="s">
        <v>50</v>
      </c>
      <c r="D832" s="1" t="s">
        <v>41</v>
      </c>
      <c r="E832" s="3">
        <v>5700000</v>
      </c>
      <c r="F832" s="1">
        <v>2566.4115263394801</v>
      </c>
      <c r="G832" s="1">
        <v>6</v>
      </c>
      <c r="H832" s="1">
        <v>3</v>
      </c>
      <c r="I832" s="1">
        <v>4</v>
      </c>
      <c r="J832" s="1">
        <v>3.5</v>
      </c>
      <c r="M832" s="4">
        <v>2221</v>
      </c>
      <c r="N832" s="1">
        <v>3119</v>
      </c>
      <c r="O832" s="1">
        <v>7690</v>
      </c>
      <c r="P832" s="1">
        <v>4571</v>
      </c>
      <c r="Q832" s="1" t="s">
        <v>42</v>
      </c>
      <c r="S832" s="1" t="s">
        <v>42</v>
      </c>
      <c r="T832" s="1" t="s">
        <v>153</v>
      </c>
      <c r="U832" s="1">
        <v>189</v>
      </c>
      <c r="V832" s="5">
        <v>43642</v>
      </c>
      <c r="W832" s="5">
        <v>43244</v>
      </c>
      <c r="X832" s="1">
        <v>6450000</v>
      </c>
      <c r="Y832" s="1">
        <v>5975000</v>
      </c>
      <c r="Z832" s="5">
        <v>43433</v>
      </c>
      <c r="AA832" s="1">
        <v>5700000</v>
      </c>
      <c r="AB832" s="1" t="s">
        <v>177</v>
      </c>
      <c r="AC832" s="5">
        <v>43454</v>
      </c>
      <c r="AF832" s="1">
        <v>10013</v>
      </c>
      <c r="AI832" s="1" t="s">
        <v>628</v>
      </c>
      <c r="AJ832" s="1">
        <v>2014</v>
      </c>
      <c r="AK832" s="1" t="s">
        <v>46</v>
      </c>
      <c r="AL832" s="1">
        <v>25</v>
      </c>
    </row>
    <row r="833" spans="1:38" x14ac:dyDescent="0.2">
      <c r="A833" s="2" t="str">
        <f>HYPERLINK("https://www.compass.com/listing/180-6th-avenue-unit-6b-manhattan-ny-10013/4839369438992010401/","180 6th Ave, Unit 6B")</f>
        <v>180 6th Ave, Unit 6B</v>
      </c>
      <c r="B833" s="2" t="str">
        <f t="shared" si="121"/>
        <v>One Vandam</v>
      </c>
      <c r="C833" s="1" t="s">
        <v>50</v>
      </c>
      <c r="D833" s="1" t="s">
        <v>41</v>
      </c>
      <c r="E833" s="3">
        <v>6618625</v>
      </c>
      <c r="F833" s="1">
        <v>2721.4740953947298</v>
      </c>
      <c r="G833" s="1">
        <v>5</v>
      </c>
      <c r="H833" s="1">
        <v>3</v>
      </c>
      <c r="I833" s="1">
        <v>4</v>
      </c>
      <c r="J833" s="1">
        <v>0.5</v>
      </c>
      <c r="L833" s="1">
        <v>1</v>
      </c>
      <c r="M833" s="4">
        <v>2432</v>
      </c>
      <c r="N833" s="1">
        <v>3415</v>
      </c>
      <c r="O833" s="1">
        <v>6597</v>
      </c>
      <c r="P833" s="1">
        <v>3182</v>
      </c>
      <c r="Q833" s="1" t="s">
        <v>42</v>
      </c>
      <c r="S833" s="1" t="s">
        <v>42</v>
      </c>
      <c r="T833" s="1" t="s">
        <v>153</v>
      </c>
      <c r="U833" s="1">
        <v>300</v>
      </c>
      <c r="V833" s="5">
        <v>43637</v>
      </c>
      <c r="W833" s="5">
        <v>41740</v>
      </c>
      <c r="X833" s="1">
        <v>6500000</v>
      </c>
      <c r="Y833" s="1">
        <v>6500000</v>
      </c>
      <c r="Z833" s="5">
        <v>42040</v>
      </c>
      <c r="AA833" s="1">
        <v>6618625</v>
      </c>
      <c r="AB833" s="1" t="s">
        <v>709</v>
      </c>
      <c r="AC833" s="5">
        <v>42446</v>
      </c>
      <c r="AF833" s="1">
        <v>10013</v>
      </c>
      <c r="AI833" s="1" t="s">
        <v>710</v>
      </c>
      <c r="AJ833" s="1">
        <v>2014</v>
      </c>
      <c r="AK833" s="1" t="s">
        <v>46</v>
      </c>
      <c r="AL833" s="1">
        <v>25</v>
      </c>
    </row>
    <row r="834" spans="1:38" x14ac:dyDescent="0.2">
      <c r="A834" s="2" t="str">
        <f>HYPERLINK("https://www.compass.com/listing/180-6th-avenue-unit-4d-manhattan-ny-10013/13087410283876641/","180 6th Ave, Unit 4D")</f>
        <v>180 6th Ave, Unit 4D</v>
      </c>
      <c r="B834" s="2" t="str">
        <f t="shared" si="121"/>
        <v>One Vandam</v>
      </c>
      <c r="C834" s="1" t="s">
        <v>50</v>
      </c>
      <c r="D834" s="1" t="s">
        <v>41</v>
      </c>
      <c r="E834" s="3">
        <v>3894806</v>
      </c>
      <c r="F834" s="1">
        <v>2111.0059620596198</v>
      </c>
      <c r="G834" s="1">
        <v>4</v>
      </c>
      <c r="H834" s="1">
        <v>2</v>
      </c>
      <c r="I834" s="1">
        <v>3</v>
      </c>
      <c r="J834" s="1">
        <v>0.5</v>
      </c>
      <c r="L834" s="1">
        <v>1</v>
      </c>
      <c r="M834" s="4">
        <v>1845</v>
      </c>
      <c r="N834" s="1">
        <v>2434</v>
      </c>
      <c r="O834" s="1">
        <v>4749</v>
      </c>
      <c r="P834" s="1">
        <v>2315</v>
      </c>
      <c r="Q834" s="1" t="s">
        <v>42</v>
      </c>
      <c r="S834" s="1" t="s">
        <v>42</v>
      </c>
      <c r="T834" s="1" t="s">
        <v>153</v>
      </c>
      <c r="V834" s="5">
        <v>43631</v>
      </c>
      <c r="W834" s="5">
        <v>41629</v>
      </c>
      <c r="X834" s="1">
        <v>3825000</v>
      </c>
      <c r="Y834" s="1">
        <v>3825000</v>
      </c>
      <c r="Z834" s="5">
        <v>41629</v>
      </c>
      <c r="AA834" s="1">
        <v>3894806</v>
      </c>
      <c r="AB834" s="1" t="s">
        <v>706</v>
      </c>
      <c r="AC834" s="5">
        <v>42452</v>
      </c>
      <c r="AF834" s="1">
        <v>10013</v>
      </c>
      <c r="AI834" s="1" t="s">
        <v>85</v>
      </c>
      <c r="AJ834" s="1">
        <v>2014</v>
      </c>
      <c r="AK834" s="1" t="s">
        <v>46</v>
      </c>
      <c r="AL834" s="1">
        <v>25</v>
      </c>
    </row>
    <row r="835" spans="1:38" x14ac:dyDescent="0.2">
      <c r="A835" s="2" t="str">
        <f>HYPERLINK("https://www.compass.com/listing/180-6th-avenue-unit-5d-manhattan-ny-10013/13087412070650833/","180 6th Ave, Unit 5D")</f>
        <v>180 6th Ave, Unit 5D</v>
      </c>
      <c r="B835" s="2" t="str">
        <f t="shared" si="121"/>
        <v>One Vandam</v>
      </c>
      <c r="C835" s="1" t="s">
        <v>50</v>
      </c>
      <c r="D835" s="1" t="s">
        <v>41</v>
      </c>
      <c r="E835" s="3">
        <v>3897331</v>
      </c>
      <c r="F835" s="1">
        <v>2112.3745257452501</v>
      </c>
      <c r="G835" s="1">
        <v>4</v>
      </c>
      <c r="H835" s="1">
        <v>2</v>
      </c>
      <c r="I835" s="1">
        <v>3</v>
      </c>
      <c r="J835" s="1">
        <v>0.5</v>
      </c>
      <c r="L835" s="1">
        <v>1</v>
      </c>
      <c r="M835" s="4">
        <v>1845</v>
      </c>
      <c r="N835" s="1">
        <v>2446</v>
      </c>
      <c r="O835" s="1">
        <v>4772</v>
      </c>
      <c r="P835" s="1">
        <v>2326</v>
      </c>
      <c r="Q835" s="1" t="s">
        <v>42</v>
      </c>
      <c r="S835" s="1" t="s">
        <v>42</v>
      </c>
      <c r="T835" s="1" t="s">
        <v>153</v>
      </c>
      <c r="V835" s="5">
        <v>43693</v>
      </c>
      <c r="W835" s="5">
        <v>41629</v>
      </c>
      <c r="X835" s="1">
        <v>3825000</v>
      </c>
      <c r="Y835" s="1">
        <v>3825000</v>
      </c>
      <c r="Z835" s="5">
        <v>41629</v>
      </c>
      <c r="AA835" s="1">
        <v>3897331</v>
      </c>
      <c r="AB835" s="1" t="s">
        <v>707</v>
      </c>
      <c r="AC835" s="5">
        <v>42461</v>
      </c>
      <c r="AF835" s="1">
        <v>10013</v>
      </c>
      <c r="AI835" s="1" t="s">
        <v>85</v>
      </c>
      <c r="AJ835" s="1">
        <v>2014</v>
      </c>
      <c r="AK835" s="1" t="s">
        <v>46</v>
      </c>
      <c r="AL835" s="1">
        <v>25</v>
      </c>
    </row>
    <row r="836" spans="1:38" x14ac:dyDescent="0.2">
      <c r="A836" s="2" t="str">
        <f>HYPERLINK("https://www.compass.com/listing/180-6th-avenue-unit-7b-manhattan-ny-10013/536051338441242345/","180 6th Ave, Unit 7B")</f>
        <v>180 6th Ave, Unit 7B</v>
      </c>
      <c r="B836" s="2" t="str">
        <f t="shared" si="121"/>
        <v>One Vandam</v>
      </c>
      <c r="C836" s="1" t="s">
        <v>50</v>
      </c>
      <c r="D836" s="1" t="s">
        <v>41</v>
      </c>
      <c r="E836" s="3">
        <v>3850000</v>
      </c>
      <c r="F836" s="1">
        <v>1733.45339936965</v>
      </c>
      <c r="G836" s="1">
        <v>5</v>
      </c>
      <c r="H836" s="1">
        <v>3</v>
      </c>
      <c r="I836" s="1">
        <v>4</v>
      </c>
      <c r="J836" s="1">
        <v>3.5</v>
      </c>
      <c r="K836" s="1">
        <v>3</v>
      </c>
      <c r="L836" s="1">
        <v>1</v>
      </c>
      <c r="M836" s="4">
        <v>2221</v>
      </c>
      <c r="N836" s="1">
        <v>3073</v>
      </c>
      <c r="O836" s="1">
        <v>8215</v>
      </c>
      <c r="P836" s="1">
        <v>5142</v>
      </c>
      <c r="Q836" s="1" t="s">
        <v>42</v>
      </c>
      <c r="S836" s="1" t="s">
        <v>42</v>
      </c>
      <c r="T836" s="1" t="s">
        <v>153</v>
      </c>
      <c r="U836" s="1">
        <v>30</v>
      </c>
      <c r="V836" s="5">
        <v>44056</v>
      </c>
      <c r="W836" s="5">
        <v>43991</v>
      </c>
      <c r="X836" s="1">
        <v>3999000</v>
      </c>
      <c r="Y836" s="1">
        <v>3999000</v>
      </c>
      <c r="Z836" s="5">
        <v>44034</v>
      </c>
      <c r="AA836" s="1">
        <v>3850000</v>
      </c>
      <c r="AB836" s="1" t="s">
        <v>711</v>
      </c>
      <c r="AC836" s="5">
        <v>44064</v>
      </c>
      <c r="AF836" s="1">
        <v>10013</v>
      </c>
      <c r="AI836" s="1" t="s">
        <v>712</v>
      </c>
      <c r="AJ836" s="1">
        <v>2014</v>
      </c>
      <c r="AK836" s="1" t="s">
        <v>46</v>
      </c>
      <c r="AL836" s="1">
        <v>25</v>
      </c>
    </row>
    <row r="837" spans="1:38" x14ac:dyDescent="0.2">
      <c r="A837" s="2" t="str">
        <f>HYPERLINK("https://www.compass.com/listing/180-6th-avenue-unit-9b-manhattan-ny-10013/13087411508657857/","180 6th Ave, Unit 9B")</f>
        <v>180 6th Ave, Unit 9B</v>
      </c>
      <c r="B837" s="2" t="str">
        <f t="shared" si="121"/>
        <v>One Vandam</v>
      </c>
      <c r="C837" s="1" t="s">
        <v>50</v>
      </c>
      <c r="D837" s="1" t="s">
        <v>41</v>
      </c>
      <c r="E837" s="3">
        <v>6417500</v>
      </c>
      <c r="F837" s="1">
        <v>2889.4642053129201</v>
      </c>
      <c r="G837" s="1">
        <v>5</v>
      </c>
      <c r="H837" s="1">
        <v>3</v>
      </c>
      <c r="I837" s="1">
        <v>4</v>
      </c>
      <c r="J837" s="1">
        <v>0.5</v>
      </c>
      <c r="L837" s="1">
        <v>1</v>
      </c>
      <c r="M837" s="4">
        <v>2221</v>
      </c>
      <c r="N837" s="1">
        <v>3039</v>
      </c>
      <c r="O837" s="1">
        <v>5929</v>
      </c>
      <c r="P837" s="1">
        <v>2890</v>
      </c>
      <c r="Q837" s="1" t="s">
        <v>42</v>
      </c>
      <c r="S837" s="1" t="s">
        <v>42</v>
      </c>
      <c r="T837" s="1" t="s">
        <v>153</v>
      </c>
      <c r="U837" s="1">
        <v>167</v>
      </c>
      <c r="V837" s="5">
        <v>43635</v>
      </c>
      <c r="W837" s="5">
        <v>41570</v>
      </c>
      <c r="X837" s="1">
        <v>6300000</v>
      </c>
      <c r="Y837" s="1">
        <v>6300000</v>
      </c>
      <c r="Z837" s="5">
        <v>41737</v>
      </c>
      <c r="AA837" s="1">
        <v>6417500</v>
      </c>
      <c r="AB837" s="1" t="s">
        <v>713</v>
      </c>
      <c r="AC837" s="5">
        <v>42466</v>
      </c>
      <c r="AF837" s="1">
        <v>10013</v>
      </c>
      <c r="AI837" s="1" t="s">
        <v>710</v>
      </c>
      <c r="AJ837" s="1">
        <v>2014</v>
      </c>
      <c r="AK837" s="1" t="s">
        <v>46</v>
      </c>
      <c r="AL837" s="1">
        <v>25</v>
      </c>
    </row>
    <row r="838" spans="1:38" x14ac:dyDescent="0.2">
      <c r="A838" s="2" t="str">
        <f>HYPERLINK("https://www.compass.com/listing/180-6th-avenue-unit-10b-manhattan-ny-10013/29676905225543761/","180 6th Ave, Unit 10B")</f>
        <v>180 6th Ave, Unit 10B</v>
      </c>
      <c r="B838" s="2" t="str">
        <f t="shared" si="121"/>
        <v>One Vandam</v>
      </c>
      <c r="C838" s="1" t="s">
        <v>50</v>
      </c>
      <c r="D838" s="1" t="s">
        <v>41</v>
      </c>
      <c r="E838" s="3">
        <v>6500000</v>
      </c>
      <c r="F838" s="1">
        <v>2926.60963529941</v>
      </c>
      <c r="G838" s="1">
        <v>5</v>
      </c>
      <c r="H838" s="1">
        <v>3</v>
      </c>
      <c r="I838" s="1">
        <v>4</v>
      </c>
      <c r="J838" s="1">
        <v>0.5</v>
      </c>
      <c r="L838" s="1">
        <v>1</v>
      </c>
      <c r="M838" s="4">
        <v>2221</v>
      </c>
      <c r="N838" s="1">
        <v>3118</v>
      </c>
      <c r="O838" s="1">
        <v>6022</v>
      </c>
      <c r="P838" s="1">
        <v>2904</v>
      </c>
      <c r="Q838" s="1" t="s">
        <v>42</v>
      </c>
      <c r="S838" s="1" t="s">
        <v>42</v>
      </c>
      <c r="T838" s="1" t="s">
        <v>153</v>
      </c>
      <c r="U838" s="1">
        <v>3</v>
      </c>
      <c r="V838" s="5">
        <v>43642</v>
      </c>
      <c r="W838" s="5">
        <v>41986</v>
      </c>
      <c r="X838" s="1">
        <v>6500000</v>
      </c>
      <c r="Y838" s="1">
        <v>6500000</v>
      </c>
      <c r="Z838" s="5">
        <v>41989</v>
      </c>
      <c r="AA838" s="1">
        <v>6500000</v>
      </c>
      <c r="AB838" s="1" t="s">
        <v>714</v>
      </c>
      <c r="AC838" s="5">
        <v>42466</v>
      </c>
      <c r="AF838" s="1">
        <v>10013</v>
      </c>
      <c r="AI838" s="1" t="s">
        <v>710</v>
      </c>
      <c r="AJ838" s="1">
        <v>2014</v>
      </c>
      <c r="AK838" s="1" t="s">
        <v>46</v>
      </c>
      <c r="AL838" s="1">
        <v>25</v>
      </c>
    </row>
    <row r="839" spans="1:38" x14ac:dyDescent="0.2">
      <c r="A839" s="2" t="str">
        <f>HYPERLINK("https://www.compass.com/listing/180-6th-avenue-unit-9a-manhattan-ny-10013/13087399152234625/","180 6th Ave, Unit 9A")</f>
        <v>180 6th Ave, Unit 9A</v>
      </c>
      <c r="B839" s="2" t="str">
        <f t="shared" si="121"/>
        <v>One Vandam</v>
      </c>
      <c r="C839" s="1" t="s">
        <v>50</v>
      </c>
      <c r="D839" s="1" t="s">
        <v>41</v>
      </c>
      <c r="E839" s="3">
        <v>6567712</v>
      </c>
      <c r="F839" s="1">
        <v>2904.7819548872098</v>
      </c>
      <c r="G839" s="1">
        <v>6</v>
      </c>
      <c r="H839" s="1">
        <v>4</v>
      </c>
      <c r="I839" s="1">
        <v>4</v>
      </c>
      <c r="J839" s="1">
        <v>3.5</v>
      </c>
      <c r="M839" s="4">
        <v>2261</v>
      </c>
      <c r="N839" s="1">
        <v>3113</v>
      </c>
      <c r="O839" s="1">
        <v>6072</v>
      </c>
      <c r="P839" s="1">
        <v>2959</v>
      </c>
      <c r="Q839" s="1" t="s">
        <v>42</v>
      </c>
      <c r="S839" s="1" t="s">
        <v>42</v>
      </c>
      <c r="T839" s="1" t="s">
        <v>153</v>
      </c>
      <c r="V839" s="5">
        <v>43651</v>
      </c>
      <c r="W839" s="5">
        <v>41629</v>
      </c>
      <c r="X839" s="1">
        <v>6450000</v>
      </c>
      <c r="Y839" s="1">
        <v>6450000</v>
      </c>
      <c r="Z839" s="5">
        <v>41629</v>
      </c>
      <c r="AA839" s="1">
        <v>6567712</v>
      </c>
      <c r="AB839" s="1" t="s">
        <v>674</v>
      </c>
      <c r="AC839" s="5">
        <v>42454</v>
      </c>
      <c r="AF839" s="1">
        <v>10013</v>
      </c>
      <c r="AI839" s="1" t="s">
        <v>633</v>
      </c>
      <c r="AJ839" s="1">
        <v>2014</v>
      </c>
      <c r="AK839" s="1" t="s">
        <v>49</v>
      </c>
      <c r="AL839" s="1">
        <v>25</v>
      </c>
    </row>
    <row r="840" spans="1:38" x14ac:dyDescent="0.2">
      <c r="A840" s="2" t="str">
        <f>HYPERLINK("https://www.compass.com/listing/180-6th-avenue-unit-phb-manhattan-ny-10013/13087388716866161/","180 6th Ave, Unit PHB")</f>
        <v>180 6th Ave, Unit PHB</v>
      </c>
      <c r="B840" s="2" t="str">
        <f t="shared" si="121"/>
        <v>One Vandam</v>
      </c>
      <c r="C840" s="1" t="s">
        <v>50</v>
      </c>
      <c r="D840" s="1" t="s">
        <v>41</v>
      </c>
      <c r="E840" s="3">
        <v>14634837</v>
      </c>
      <c r="F840" s="1">
        <v>4304.3638235294102</v>
      </c>
      <c r="G840" s="1">
        <v>6</v>
      </c>
      <c r="H840" s="1">
        <v>4</v>
      </c>
      <c r="I840" s="1">
        <v>5</v>
      </c>
      <c r="J840" s="1">
        <v>4.5</v>
      </c>
      <c r="M840" s="4">
        <v>3400</v>
      </c>
      <c r="N840" s="1">
        <v>5072</v>
      </c>
      <c r="O840" s="1">
        <v>9795</v>
      </c>
      <c r="P840" s="1">
        <v>4723</v>
      </c>
      <c r="Q840" s="1" t="s">
        <v>42</v>
      </c>
      <c r="S840" s="1" t="s">
        <v>42</v>
      </c>
      <c r="T840" s="1" t="s">
        <v>153</v>
      </c>
      <c r="U840" s="1">
        <v>391</v>
      </c>
      <c r="V840" s="5">
        <v>43675</v>
      </c>
      <c r="W840" s="5">
        <v>41570</v>
      </c>
      <c r="X840" s="1">
        <v>15000000</v>
      </c>
      <c r="Y840" s="1">
        <v>15000000</v>
      </c>
      <c r="Z840" s="5">
        <v>41961</v>
      </c>
      <c r="AA840" s="1">
        <v>14634837</v>
      </c>
      <c r="AB840" s="1" t="s">
        <v>715</v>
      </c>
      <c r="AC840" s="5">
        <v>42536</v>
      </c>
      <c r="AF840" s="1">
        <v>10013</v>
      </c>
      <c r="AI840" s="1" t="s">
        <v>633</v>
      </c>
      <c r="AJ840" s="1">
        <v>2014</v>
      </c>
      <c r="AK840" s="1" t="s">
        <v>49</v>
      </c>
      <c r="AL840" s="1">
        <v>25</v>
      </c>
    </row>
    <row r="841" spans="1:38" x14ac:dyDescent="0.2">
      <c r="A841" s="2" t="str">
        <f>HYPERLINK("https://www.compass.com/listing/180-6th-avenue-unit-3d-manhattan-ny-10013/13087390486862865/","180 6th Ave, Unit 3D")</f>
        <v>180 6th Ave, Unit 3D</v>
      </c>
      <c r="B841" s="2" t="str">
        <f t="shared" si="121"/>
        <v>One Vandam</v>
      </c>
      <c r="C841" s="1" t="s">
        <v>50</v>
      </c>
      <c r="D841" s="1" t="s">
        <v>41</v>
      </c>
      <c r="E841" s="3">
        <v>3762433</v>
      </c>
      <c r="F841" s="1">
        <v>2039.2590785907801</v>
      </c>
      <c r="G841" s="1">
        <v>4</v>
      </c>
      <c r="H841" s="1">
        <v>2</v>
      </c>
      <c r="I841" s="1">
        <v>3</v>
      </c>
      <c r="J841" s="1">
        <v>0.5</v>
      </c>
      <c r="L841" s="1">
        <v>1</v>
      </c>
      <c r="M841" s="4">
        <v>1845</v>
      </c>
      <c r="N841" s="1">
        <v>2422</v>
      </c>
      <c r="O841" s="1">
        <v>4725</v>
      </c>
      <c r="P841" s="1">
        <v>2303</v>
      </c>
      <c r="Q841" s="1" t="s">
        <v>42</v>
      </c>
      <c r="S841" s="1" t="s">
        <v>42</v>
      </c>
      <c r="T841" s="1" t="s">
        <v>153</v>
      </c>
      <c r="U841" s="1">
        <v>42</v>
      </c>
      <c r="V841" s="5">
        <v>43637</v>
      </c>
      <c r="W841" s="5">
        <v>41570</v>
      </c>
      <c r="X841" s="1">
        <v>3695000</v>
      </c>
      <c r="Y841" s="1">
        <v>3695000</v>
      </c>
      <c r="Z841" s="5">
        <v>41612</v>
      </c>
      <c r="AA841" s="1">
        <v>3762433</v>
      </c>
      <c r="AB841" s="1" t="s">
        <v>664</v>
      </c>
      <c r="AC841" s="5">
        <v>42444</v>
      </c>
      <c r="AF841" s="1">
        <v>10013</v>
      </c>
      <c r="AI841" s="1" t="s">
        <v>85</v>
      </c>
      <c r="AJ841" s="1">
        <v>2014</v>
      </c>
      <c r="AK841" s="1" t="s">
        <v>46</v>
      </c>
      <c r="AL841" s="1">
        <v>25</v>
      </c>
    </row>
    <row r="842" spans="1:38" x14ac:dyDescent="0.2">
      <c r="A842" s="2" t="str">
        <f>HYPERLINK("https://www.compass.com/listing/180-6th-avenue-unit-3a-manhattan-ny-10013/25893583324301409/","180 6th Ave, Unit 3A")</f>
        <v>180 6th Ave, Unit 3A</v>
      </c>
      <c r="B842" s="2" t="str">
        <f t="shared" si="121"/>
        <v>One Vandam</v>
      </c>
      <c r="C842" s="1" t="s">
        <v>50</v>
      </c>
      <c r="D842" s="1" t="s">
        <v>41</v>
      </c>
      <c r="E842" s="3">
        <v>3385681</v>
      </c>
      <c r="F842" s="1">
        <v>2174.4900449582501</v>
      </c>
      <c r="G842" s="1">
        <v>4</v>
      </c>
      <c r="H842" s="1">
        <v>2</v>
      </c>
      <c r="I842" s="1">
        <v>3</v>
      </c>
      <c r="J842" s="1">
        <v>0.5</v>
      </c>
      <c r="L842" s="1">
        <v>1</v>
      </c>
      <c r="M842" s="4">
        <v>1557</v>
      </c>
      <c r="N842" s="1">
        <v>2054</v>
      </c>
      <c r="O842" s="1">
        <v>4007</v>
      </c>
      <c r="P842" s="1">
        <v>1953</v>
      </c>
      <c r="Q842" s="1" t="s">
        <v>42</v>
      </c>
      <c r="S842" s="1" t="s">
        <v>42</v>
      </c>
      <c r="T842" s="1" t="s">
        <v>153</v>
      </c>
      <c r="V842" s="5">
        <v>43631</v>
      </c>
      <c r="W842" s="5">
        <v>42374</v>
      </c>
      <c r="X842" s="1">
        <v>3325000</v>
      </c>
      <c r="Y842" s="1">
        <v>3325000</v>
      </c>
      <c r="Z842" s="5">
        <v>42374</v>
      </c>
      <c r="AA842" s="1">
        <v>3385681</v>
      </c>
      <c r="AB842" s="1" t="s">
        <v>177</v>
      </c>
      <c r="AC842" s="5">
        <v>42452</v>
      </c>
      <c r="AF842" s="1">
        <v>10013</v>
      </c>
      <c r="AI842" s="1" t="s">
        <v>85</v>
      </c>
      <c r="AJ842" s="1">
        <v>2014</v>
      </c>
      <c r="AK842" s="1" t="s">
        <v>46</v>
      </c>
      <c r="AL842" s="1">
        <v>25</v>
      </c>
    </row>
    <row r="843" spans="1:38" x14ac:dyDescent="0.2">
      <c r="A843" s="2" t="str">
        <f>HYPERLINK("https://www.compass.com/listing/180-6th-avenue-unit-3c-manhattan-ny-10013/13087401366783649/","180 6th Ave, Unit 3C")</f>
        <v>180 6th Ave, Unit 3C</v>
      </c>
      <c r="B843" s="2" t="str">
        <f t="shared" si="121"/>
        <v>One Vandam</v>
      </c>
      <c r="C843" s="1" t="s">
        <v>50</v>
      </c>
      <c r="D843" s="1" t="s">
        <v>41</v>
      </c>
      <c r="E843" s="3">
        <v>1764097</v>
      </c>
      <c r="F843" s="1">
        <v>2110.1638755980798</v>
      </c>
      <c r="G843" s="1">
        <v>3</v>
      </c>
      <c r="H843" s="1">
        <v>1</v>
      </c>
      <c r="I843" s="1">
        <v>1</v>
      </c>
      <c r="M843" s="1">
        <v>836</v>
      </c>
      <c r="N843" s="1">
        <v>1097</v>
      </c>
      <c r="O843" s="1">
        <v>2141</v>
      </c>
      <c r="P843" s="1">
        <v>1044</v>
      </c>
      <c r="Q843" s="1" t="s">
        <v>42</v>
      </c>
      <c r="S843" s="1" t="s">
        <v>42</v>
      </c>
      <c r="T843" s="1" t="s">
        <v>153</v>
      </c>
      <c r="U843" s="1">
        <v>64</v>
      </c>
      <c r="V843" s="5">
        <v>43631</v>
      </c>
      <c r="W843" s="5">
        <v>41611</v>
      </c>
      <c r="X843" s="1">
        <v>1730000</v>
      </c>
      <c r="Y843" s="1">
        <v>1730000</v>
      </c>
      <c r="Z843" s="5">
        <v>41675</v>
      </c>
      <c r="AA843" s="1">
        <v>1764097</v>
      </c>
      <c r="AB843" s="1" t="s">
        <v>716</v>
      </c>
      <c r="AC843" s="5">
        <v>42466</v>
      </c>
      <c r="AF843" s="1">
        <v>10013</v>
      </c>
      <c r="AI843" s="1" t="s">
        <v>85</v>
      </c>
      <c r="AJ843" s="1">
        <v>2014</v>
      </c>
      <c r="AK843" s="1" t="s">
        <v>46</v>
      </c>
      <c r="AL843" s="1">
        <v>25</v>
      </c>
    </row>
    <row r="844" spans="1:38" x14ac:dyDescent="0.2">
      <c r="A844" s="2" t="str">
        <f>HYPERLINK("https://www.compass.com/listing/180-6th-avenue-unit-3c-manhattan-ny-10013/13087401366783665/","180 6th Ave, Unit 3C")</f>
        <v>180 6th Ave, Unit 3C</v>
      </c>
      <c r="B844" s="2" t="str">
        <f t="shared" si="121"/>
        <v>One Vandam</v>
      </c>
      <c r="C844" s="1" t="s">
        <v>50</v>
      </c>
      <c r="D844" s="1" t="s">
        <v>41</v>
      </c>
      <c r="E844" s="3">
        <v>1764097</v>
      </c>
      <c r="F844" s="1">
        <v>2110.1638755980798</v>
      </c>
      <c r="G844" s="1">
        <v>3</v>
      </c>
      <c r="H844" s="1">
        <v>1</v>
      </c>
      <c r="I844" s="1">
        <v>1</v>
      </c>
      <c r="J844" s="1">
        <v>1</v>
      </c>
      <c r="M844" s="1">
        <v>836</v>
      </c>
      <c r="N844" s="1">
        <v>1098</v>
      </c>
      <c r="O844" s="1">
        <v>2142</v>
      </c>
      <c r="P844" s="1">
        <v>1044</v>
      </c>
      <c r="Q844" s="1" t="s">
        <v>42</v>
      </c>
      <c r="S844" s="1" t="s">
        <v>42</v>
      </c>
      <c r="T844" s="1" t="s">
        <v>153</v>
      </c>
      <c r="U844" s="1">
        <v>64</v>
      </c>
      <c r="V844" s="5">
        <v>43637</v>
      </c>
      <c r="W844" s="5">
        <v>41611</v>
      </c>
      <c r="X844" s="1">
        <v>1730000</v>
      </c>
      <c r="Y844" s="1">
        <v>1730000</v>
      </c>
      <c r="Z844" s="5">
        <v>41675</v>
      </c>
      <c r="AA844" s="1">
        <v>1764097</v>
      </c>
      <c r="AB844" s="1" t="s">
        <v>716</v>
      </c>
      <c r="AC844" s="5">
        <v>42466</v>
      </c>
      <c r="AF844" s="1">
        <v>10013</v>
      </c>
      <c r="AI844" s="1" t="s">
        <v>51</v>
      </c>
      <c r="AJ844" s="1">
        <v>2014</v>
      </c>
      <c r="AK844" s="1" t="s">
        <v>49</v>
      </c>
      <c r="AL844" s="1">
        <v>25</v>
      </c>
    </row>
    <row r="845" spans="1:38" x14ac:dyDescent="0.2">
      <c r="A845" s="2" t="str">
        <f>HYPERLINK("https://www.compass.com/listing/180-6th-avenue-unit-4c-manhattan-ny-10013/13087411257061937/","180 6th Ave, Unit 4C")</f>
        <v>180 6th Ave, Unit 4C</v>
      </c>
      <c r="B845" s="2" t="str">
        <f t="shared" si="121"/>
        <v>One Vandam</v>
      </c>
      <c r="C845" s="1" t="s">
        <v>50</v>
      </c>
      <c r="D845" s="1" t="s">
        <v>41</v>
      </c>
      <c r="E845" s="3">
        <v>1761572</v>
      </c>
      <c r="F845" s="1">
        <v>2107.1435406698502</v>
      </c>
      <c r="G845" s="1">
        <v>3</v>
      </c>
      <c r="H845" s="1">
        <v>1</v>
      </c>
      <c r="I845" s="1">
        <v>1</v>
      </c>
      <c r="M845" s="1">
        <v>836</v>
      </c>
      <c r="N845" s="1">
        <v>1103</v>
      </c>
      <c r="O845" s="1">
        <v>2152</v>
      </c>
      <c r="P845" s="1">
        <v>1049</v>
      </c>
      <c r="Q845" s="1" t="s">
        <v>42</v>
      </c>
      <c r="S845" s="1" t="s">
        <v>42</v>
      </c>
      <c r="T845" s="1" t="s">
        <v>153</v>
      </c>
      <c r="U845" s="1">
        <v>30</v>
      </c>
      <c r="V845" s="5">
        <v>43631</v>
      </c>
      <c r="W845" s="5">
        <v>41570</v>
      </c>
      <c r="X845" s="1">
        <v>1730000</v>
      </c>
      <c r="Y845" s="1">
        <v>1730000</v>
      </c>
      <c r="Z845" s="5">
        <v>41600</v>
      </c>
      <c r="AA845" s="1">
        <v>1761572</v>
      </c>
      <c r="AB845" s="1" t="s">
        <v>717</v>
      </c>
      <c r="AC845" s="5">
        <v>42440</v>
      </c>
      <c r="AF845" s="1">
        <v>10013</v>
      </c>
      <c r="AI845" s="1" t="s">
        <v>85</v>
      </c>
      <c r="AJ845" s="1">
        <v>2014</v>
      </c>
      <c r="AK845" s="1" t="s">
        <v>46</v>
      </c>
      <c r="AL845" s="1">
        <v>25</v>
      </c>
    </row>
    <row r="846" spans="1:38" x14ac:dyDescent="0.2">
      <c r="A846" s="2" t="str">
        <f>HYPERLINK("https://www.compass.com/listing/180-6th-avenue-unit-4c-manhattan-ny-10013/13087411257061953/","180 6th Ave, Unit 4C")</f>
        <v>180 6th Ave, Unit 4C</v>
      </c>
      <c r="B846" s="2" t="str">
        <f t="shared" si="121"/>
        <v>One Vandam</v>
      </c>
      <c r="C846" s="1" t="s">
        <v>50</v>
      </c>
      <c r="D846" s="1" t="s">
        <v>41</v>
      </c>
      <c r="E846" s="3">
        <v>1761572</v>
      </c>
      <c r="F846" s="1">
        <v>2107.1435406698502</v>
      </c>
      <c r="G846" s="1">
        <v>3</v>
      </c>
      <c r="H846" s="1">
        <v>1</v>
      </c>
      <c r="I846" s="1">
        <v>1</v>
      </c>
      <c r="J846" s="1">
        <v>1</v>
      </c>
      <c r="M846" s="1">
        <v>836</v>
      </c>
      <c r="N846" s="1">
        <v>1103</v>
      </c>
      <c r="O846" s="1">
        <v>2152</v>
      </c>
      <c r="P846" s="1">
        <v>1049</v>
      </c>
      <c r="Q846" s="1" t="s">
        <v>42</v>
      </c>
      <c r="S846" s="1" t="s">
        <v>42</v>
      </c>
      <c r="T846" s="1" t="s">
        <v>153</v>
      </c>
      <c r="U846" s="1">
        <v>30</v>
      </c>
      <c r="V846" s="5">
        <v>43637</v>
      </c>
      <c r="W846" s="5">
        <v>41570</v>
      </c>
      <c r="X846" s="1">
        <v>1730000</v>
      </c>
      <c r="Y846" s="1">
        <v>1730000</v>
      </c>
      <c r="Z846" s="5">
        <v>41600</v>
      </c>
      <c r="AA846" s="1">
        <v>1761572</v>
      </c>
      <c r="AB846" s="1" t="s">
        <v>717</v>
      </c>
      <c r="AC846" s="5">
        <v>42440</v>
      </c>
      <c r="AF846" s="1">
        <v>10013</v>
      </c>
      <c r="AI846" s="1" t="s">
        <v>51</v>
      </c>
      <c r="AJ846" s="1">
        <v>2014</v>
      </c>
      <c r="AK846" s="1" t="s">
        <v>49</v>
      </c>
      <c r="AL846" s="1">
        <v>25</v>
      </c>
    </row>
    <row r="847" spans="1:38" x14ac:dyDescent="0.2">
      <c r="A847" s="2" t="str">
        <f>HYPERLINK("https://www.compass.com/listing/180-6th-avenue-unit-3b-manhattan-ny-10013/29513611625890705/","180 6th Ave, Unit 3B")</f>
        <v>180 6th Ave, Unit 3B</v>
      </c>
      <c r="B847" s="2" t="str">
        <f t="shared" si="121"/>
        <v>One Vandam</v>
      </c>
      <c r="C847" s="1" t="s">
        <v>50</v>
      </c>
      <c r="D847" s="1" t="s">
        <v>41</v>
      </c>
      <c r="E847" s="3">
        <v>1568105</v>
      </c>
      <c r="F847" s="1">
        <v>2127.6865671641699</v>
      </c>
      <c r="G847" s="1">
        <v>3</v>
      </c>
      <c r="H847" s="1">
        <v>1</v>
      </c>
      <c r="I847" s="1">
        <v>1</v>
      </c>
      <c r="J847" s="1">
        <v>1</v>
      </c>
      <c r="M847" s="1">
        <v>737</v>
      </c>
      <c r="N847" s="1">
        <v>968</v>
      </c>
      <c r="O847" s="1">
        <v>1888</v>
      </c>
      <c r="P847" s="1">
        <v>920</v>
      </c>
      <c r="Q847" s="1" t="s">
        <v>42</v>
      </c>
      <c r="S847" s="1" t="s">
        <v>42</v>
      </c>
      <c r="T847" s="1" t="s">
        <v>153</v>
      </c>
      <c r="U847" s="1">
        <v>29</v>
      </c>
      <c r="V847" s="5">
        <v>43680</v>
      </c>
      <c r="W847" s="5">
        <v>41571</v>
      </c>
      <c r="X847" s="1">
        <v>1540000</v>
      </c>
      <c r="Y847" s="1">
        <v>1540000</v>
      </c>
      <c r="Z847" s="5">
        <v>41600</v>
      </c>
      <c r="AA847" s="1">
        <v>1568105</v>
      </c>
      <c r="AB847" s="1" t="s">
        <v>634</v>
      </c>
      <c r="AC847" s="5">
        <v>42450</v>
      </c>
      <c r="AF847" s="1">
        <v>10013</v>
      </c>
      <c r="AI847" s="1" t="s">
        <v>51</v>
      </c>
      <c r="AJ847" s="1">
        <v>2014</v>
      </c>
      <c r="AK847" s="1" t="s">
        <v>49</v>
      </c>
      <c r="AL847" s="1">
        <v>25</v>
      </c>
    </row>
    <row r="848" spans="1:38" x14ac:dyDescent="0.2">
      <c r="A848" s="2" t="str">
        <f>HYPERLINK("https://www.compass.com/listing/180-6th-avenue-unit-phc-manhattan-ny-10013/13087389404756913/","180 6th Ave, Unit PHC")</f>
        <v>180 6th Ave, Unit PHC</v>
      </c>
      <c r="B848" s="2" t="str">
        <f t="shared" si="121"/>
        <v>One Vandam</v>
      </c>
      <c r="C848" s="1" t="s">
        <v>50</v>
      </c>
      <c r="D848" s="1" t="s">
        <v>41</v>
      </c>
      <c r="E848" s="3">
        <v>14767150</v>
      </c>
      <c r="F848" s="1">
        <v>3102.9943265391798</v>
      </c>
      <c r="G848" s="1">
        <v>8</v>
      </c>
      <c r="H848" s="1">
        <v>5</v>
      </c>
      <c r="I848" s="1">
        <v>5</v>
      </c>
      <c r="J848" s="1">
        <v>4.5</v>
      </c>
      <c r="M848" s="4">
        <v>4759</v>
      </c>
      <c r="N848" s="1">
        <v>6732</v>
      </c>
      <c r="O848" s="1">
        <v>13056</v>
      </c>
      <c r="P848" s="1">
        <v>6324</v>
      </c>
      <c r="Q848" s="1" t="s">
        <v>42</v>
      </c>
      <c r="S848" s="1" t="s">
        <v>42</v>
      </c>
      <c r="T848" s="1" t="s">
        <v>153</v>
      </c>
      <c r="U848" s="1">
        <v>702</v>
      </c>
      <c r="V848" s="5">
        <v>43631</v>
      </c>
      <c r="W848" s="5">
        <v>41948</v>
      </c>
      <c r="X848" s="1">
        <v>17500000</v>
      </c>
      <c r="Y848" s="1">
        <v>15750000</v>
      </c>
      <c r="Z848" s="5">
        <v>42650</v>
      </c>
      <c r="AA848" s="1">
        <v>14767150</v>
      </c>
      <c r="AB848" s="1" t="s">
        <v>718</v>
      </c>
      <c r="AC848" s="5">
        <v>42683</v>
      </c>
      <c r="AF848" s="1">
        <v>10013</v>
      </c>
      <c r="AI848" s="1" t="s">
        <v>633</v>
      </c>
      <c r="AJ848" s="1">
        <v>2014</v>
      </c>
      <c r="AK848" s="1" t="s">
        <v>46</v>
      </c>
      <c r="AL848" s="1">
        <v>25</v>
      </c>
    </row>
    <row r="849" spans="1:38" x14ac:dyDescent="0.2">
      <c r="A849" s="2" t="str">
        <f>HYPERLINK("https://www.compass.com/listing/180-6th-avenue-unit-pha-manhattan-ny-10013/140493812203028721/","180 6th Ave, Unit PHA")</f>
        <v>180 6th Ave, Unit PHA</v>
      </c>
      <c r="B849" s="2" t="str">
        <f t="shared" si="121"/>
        <v>One Vandam</v>
      </c>
      <c r="C849" s="1" t="s">
        <v>50</v>
      </c>
      <c r="D849" s="1" t="s">
        <v>41</v>
      </c>
      <c r="E849" s="3">
        <v>13500000</v>
      </c>
      <c r="F849" s="1">
        <v>2553.91600454029</v>
      </c>
      <c r="G849" s="1">
        <v>7</v>
      </c>
      <c r="H849" s="1">
        <v>4</v>
      </c>
      <c r="J849" s="1">
        <v>5.5</v>
      </c>
      <c r="M849" s="4">
        <v>5286</v>
      </c>
      <c r="N849" s="1">
        <v>8104</v>
      </c>
      <c r="O849" s="1">
        <v>22506</v>
      </c>
      <c r="P849" s="1">
        <v>14402</v>
      </c>
      <c r="Q849" s="1" t="s">
        <v>42</v>
      </c>
      <c r="S849" s="1" t="s">
        <v>42</v>
      </c>
      <c r="T849" s="1" t="s">
        <v>153</v>
      </c>
      <c r="U849" s="1">
        <v>310</v>
      </c>
      <c r="V849" s="5">
        <v>44247</v>
      </c>
      <c r="W849" s="5">
        <v>43243</v>
      </c>
      <c r="X849" s="1">
        <v>19250000</v>
      </c>
      <c r="Y849" s="1">
        <v>15750000</v>
      </c>
      <c r="Z849" s="5">
        <v>43553</v>
      </c>
      <c r="AA849" s="1">
        <v>13500000</v>
      </c>
      <c r="AB849" s="1" t="s">
        <v>719</v>
      </c>
      <c r="AC849" s="5">
        <v>43594</v>
      </c>
      <c r="AF849" s="1">
        <v>10013</v>
      </c>
      <c r="AI849" s="1" t="s">
        <v>633</v>
      </c>
      <c r="AJ849" s="1">
        <v>2014</v>
      </c>
      <c r="AK849" s="1" t="s">
        <v>49</v>
      </c>
      <c r="AL849" s="1">
        <v>25</v>
      </c>
    </row>
    <row r="850" spans="1:38" x14ac:dyDescent="0.2">
      <c r="A850" s="2" t="str">
        <f>HYPERLINK("https://www.compass.com/listing/180-6th-avenue-unit-penthousea-manhattan-ny-10013/140503498839050945/","180 6th Ave, Unit PENTHOUSEA")</f>
        <v>180 6th Ave, Unit PENTHOUSEA</v>
      </c>
      <c r="B850" s="2" t="str">
        <f t="shared" si="121"/>
        <v>One Vandam</v>
      </c>
      <c r="C850" s="1" t="s">
        <v>50</v>
      </c>
      <c r="D850" s="1" t="s">
        <v>41</v>
      </c>
      <c r="E850" s="3">
        <v>13500000</v>
      </c>
      <c r="F850" s="1">
        <v>2553.91600454029</v>
      </c>
      <c r="G850" s="1">
        <v>7</v>
      </c>
      <c r="H850" s="1">
        <v>4</v>
      </c>
      <c r="I850" s="1">
        <v>6</v>
      </c>
      <c r="J850" s="1">
        <v>5.5</v>
      </c>
      <c r="K850" s="1">
        <v>5</v>
      </c>
      <c r="L850" s="1">
        <v>1</v>
      </c>
      <c r="M850" s="4">
        <v>5286</v>
      </c>
      <c r="N850" s="1">
        <v>8104</v>
      </c>
      <c r="O850" s="1">
        <v>22506</v>
      </c>
      <c r="P850" s="1">
        <v>14402</v>
      </c>
      <c r="Q850" s="1" t="s">
        <v>42</v>
      </c>
      <c r="S850" s="1" t="s">
        <v>42</v>
      </c>
      <c r="T850" s="1" t="s">
        <v>153</v>
      </c>
      <c r="U850" s="1">
        <v>310</v>
      </c>
      <c r="V850" s="5">
        <v>43668</v>
      </c>
      <c r="W850" s="5">
        <v>43243</v>
      </c>
      <c r="X850" s="1">
        <v>19250000</v>
      </c>
      <c r="Y850" s="1">
        <v>15750000</v>
      </c>
      <c r="Z850" s="5">
        <v>43553</v>
      </c>
      <c r="AA850" s="1">
        <v>13500000</v>
      </c>
      <c r="AB850" s="1" t="s">
        <v>177</v>
      </c>
      <c r="AC850" s="5">
        <v>43595</v>
      </c>
      <c r="AF850" s="1">
        <v>10013</v>
      </c>
      <c r="AI850" s="1" t="s">
        <v>720</v>
      </c>
      <c r="AJ850" s="1">
        <v>2014</v>
      </c>
      <c r="AK850" s="1" t="s">
        <v>49</v>
      </c>
      <c r="AL850" s="1">
        <v>25</v>
      </c>
    </row>
    <row r="851" spans="1:38" x14ac:dyDescent="0.2">
      <c r="A851" s="2" t="str">
        <f>HYPERLINK("https://www.compass.com/listing/180-6th-avenue-unit-phb-manhattan-ny-10013/13087388716866145/","180 6th Ave, Unit PHB")</f>
        <v>180 6th Ave, Unit PHB</v>
      </c>
      <c r="B851" s="2" t="str">
        <f t="shared" si="121"/>
        <v>One Vandam</v>
      </c>
      <c r="C851" s="1" t="s">
        <v>50</v>
      </c>
      <c r="D851" s="1" t="s">
        <v>41</v>
      </c>
      <c r="E851" s="3">
        <v>14634837</v>
      </c>
      <c r="F851" s="1">
        <v>4304.3638235294102</v>
      </c>
      <c r="G851" s="1">
        <v>6</v>
      </c>
      <c r="H851" s="1">
        <v>4</v>
      </c>
      <c r="I851" s="1">
        <v>5</v>
      </c>
      <c r="J851" s="1">
        <v>0.5</v>
      </c>
      <c r="L851" s="1">
        <v>1</v>
      </c>
      <c r="M851" s="4">
        <v>3400</v>
      </c>
      <c r="N851" s="1">
        <v>5071</v>
      </c>
      <c r="O851" s="1">
        <v>9794</v>
      </c>
      <c r="P851" s="1">
        <v>4723</v>
      </c>
      <c r="Q851" s="1" t="s">
        <v>42</v>
      </c>
      <c r="S851" s="1" t="s">
        <v>42</v>
      </c>
      <c r="T851" s="1" t="s">
        <v>153</v>
      </c>
      <c r="U851" s="1">
        <v>391</v>
      </c>
      <c r="V851" s="5">
        <v>43693</v>
      </c>
      <c r="W851" s="5">
        <v>41570</v>
      </c>
      <c r="X851" s="1">
        <v>15000000</v>
      </c>
      <c r="Y851" s="1">
        <v>15000000</v>
      </c>
      <c r="Z851" s="5">
        <v>41961</v>
      </c>
      <c r="AA851" s="1">
        <v>14634837</v>
      </c>
      <c r="AB851" s="1" t="s">
        <v>715</v>
      </c>
      <c r="AC851" s="5">
        <v>42536</v>
      </c>
      <c r="AF851" s="1">
        <v>10013</v>
      </c>
      <c r="AI851" s="1" t="s">
        <v>101</v>
      </c>
      <c r="AJ851" s="1">
        <v>2014</v>
      </c>
      <c r="AK851" s="1" t="s">
        <v>46</v>
      </c>
      <c r="AL851" s="1">
        <v>25</v>
      </c>
    </row>
    <row r="852" spans="1:38" x14ac:dyDescent="0.2">
      <c r="A852" s="2" t="str">
        <f>HYPERLINK("https://www.compass.com/listing/180-6th-avenue-unit-5b-manhattan-ny-10013/13087413018608049/","180 6th Ave, Unit 5B")</f>
        <v>180 6th Ave, Unit 5B</v>
      </c>
      <c r="B852" s="2" t="str">
        <f t="shared" si="121"/>
        <v>One Vandam</v>
      </c>
      <c r="C852" s="1" t="s">
        <v>50</v>
      </c>
      <c r="D852" s="1" t="s">
        <v>41</v>
      </c>
      <c r="E852" s="3">
        <v>1644473</v>
      </c>
      <c r="F852" s="1">
        <v>2231.3066485753002</v>
      </c>
      <c r="G852" s="1">
        <v>3</v>
      </c>
      <c r="H852" s="1">
        <v>1</v>
      </c>
      <c r="I852" s="1">
        <v>1</v>
      </c>
      <c r="J852" s="1">
        <v>1</v>
      </c>
      <c r="M852" s="1">
        <v>737</v>
      </c>
      <c r="N852" s="1">
        <v>977</v>
      </c>
      <c r="O852" s="1">
        <v>1906</v>
      </c>
      <c r="P852" s="1">
        <v>929</v>
      </c>
      <c r="Q852" s="1" t="s">
        <v>42</v>
      </c>
      <c r="S852" s="1" t="s">
        <v>42</v>
      </c>
      <c r="T852" s="1" t="s">
        <v>153</v>
      </c>
      <c r="V852" s="5">
        <v>43680</v>
      </c>
      <c r="W852" s="5">
        <v>41629</v>
      </c>
      <c r="X852" s="1">
        <v>1615000</v>
      </c>
      <c r="Y852" s="1">
        <v>1615000</v>
      </c>
      <c r="Z852" s="5">
        <v>41629</v>
      </c>
      <c r="AA852" s="1">
        <v>1644473</v>
      </c>
      <c r="AB852" s="1" t="s">
        <v>672</v>
      </c>
      <c r="AC852" s="5">
        <v>42448</v>
      </c>
      <c r="AF852" s="1">
        <v>10013</v>
      </c>
      <c r="AI852" s="1" t="s">
        <v>633</v>
      </c>
      <c r="AJ852" s="1">
        <v>2014</v>
      </c>
      <c r="AK852" s="1" t="s">
        <v>49</v>
      </c>
      <c r="AL852" s="1">
        <v>25</v>
      </c>
    </row>
    <row r="853" spans="1:38" x14ac:dyDescent="0.2">
      <c r="A853" s="2" t="str">
        <f>HYPERLINK("https://www.compass.com/listing/180-6th-avenue-unit-5c-manhattan-ny-10013/29363037085411409/","180 6th Ave, Unit 5C")</f>
        <v>180 6th Ave, Unit 5C</v>
      </c>
      <c r="B853" s="2" t="str">
        <f t="shared" si="121"/>
        <v>One Vandam</v>
      </c>
      <c r="C853" s="1" t="s">
        <v>50</v>
      </c>
      <c r="D853" s="1" t="s">
        <v>41</v>
      </c>
      <c r="E853" s="3">
        <v>1794645</v>
      </c>
      <c r="F853" s="1">
        <v>2146.70454545454</v>
      </c>
      <c r="G853" s="1">
        <v>3</v>
      </c>
      <c r="H853" s="1">
        <v>1</v>
      </c>
      <c r="I853" s="1">
        <v>1</v>
      </c>
      <c r="M853" s="1">
        <v>836</v>
      </c>
      <c r="N853" s="1">
        <v>1108</v>
      </c>
      <c r="O853" s="1">
        <v>2162</v>
      </c>
      <c r="P853" s="1">
        <v>1054</v>
      </c>
      <c r="Q853" s="1" t="s">
        <v>42</v>
      </c>
      <c r="S853" s="1" t="s">
        <v>42</v>
      </c>
      <c r="T853" s="1" t="s">
        <v>153</v>
      </c>
      <c r="V853" s="5">
        <v>43650</v>
      </c>
      <c r="W853" s="5">
        <v>41629</v>
      </c>
      <c r="X853" s="1">
        <v>1790000</v>
      </c>
      <c r="Y853" s="1">
        <v>1790000</v>
      </c>
      <c r="Z853" s="5">
        <v>41629</v>
      </c>
      <c r="AA853" s="1">
        <v>1794645</v>
      </c>
      <c r="AB853" s="1" t="s">
        <v>721</v>
      </c>
      <c r="AC853" s="5">
        <v>42460</v>
      </c>
      <c r="AF853" s="1">
        <v>10013</v>
      </c>
      <c r="AI853" s="1" t="s">
        <v>85</v>
      </c>
      <c r="AJ853" s="1">
        <v>2014</v>
      </c>
      <c r="AK853" s="1" t="s">
        <v>46</v>
      </c>
      <c r="AL853" s="1">
        <v>25</v>
      </c>
    </row>
    <row r="854" spans="1:38" x14ac:dyDescent="0.2">
      <c r="A854" s="2" t="str">
        <f>HYPERLINK("https://www.compass.com/listing/180-6th-avenue-unit-5c-manhattan-ny-10013/70924403977760257/","180 6th Ave, Unit 5C")</f>
        <v>180 6th Ave, Unit 5C</v>
      </c>
      <c r="B854" s="2" t="str">
        <f t="shared" si="121"/>
        <v>One Vandam</v>
      </c>
      <c r="C854" s="1" t="s">
        <v>50</v>
      </c>
      <c r="D854" s="1" t="s">
        <v>41</v>
      </c>
      <c r="E854" s="3">
        <v>1794645</v>
      </c>
      <c r="F854" s="1">
        <v>2146.70454545454</v>
      </c>
      <c r="G854" s="1">
        <v>3</v>
      </c>
      <c r="H854" s="1">
        <v>1</v>
      </c>
      <c r="I854" s="1">
        <v>1</v>
      </c>
      <c r="J854" s="1">
        <v>1</v>
      </c>
      <c r="M854" s="1">
        <v>836</v>
      </c>
      <c r="N854" s="1">
        <v>1109</v>
      </c>
      <c r="O854" s="1">
        <v>2163</v>
      </c>
      <c r="P854" s="1">
        <v>1054</v>
      </c>
      <c r="Q854" s="1" t="s">
        <v>42</v>
      </c>
      <c r="S854" s="1" t="s">
        <v>42</v>
      </c>
      <c r="T854" s="1" t="s">
        <v>153</v>
      </c>
      <c r="V854" s="5">
        <v>43635</v>
      </c>
      <c r="W854" s="5">
        <v>41629</v>
      </c>
      <c r="X854" s="1">
        <v>1790000</v>
      </c>
      <c r="Y854" s="1">
        <v>1790000</v>
      </c>
      <c r="Z854" s="5">
        <v>41629</v>
      </c>
      <c r="AA854" s="1">
        <v>1794645</v>
      </c>
      <c r="AB854" s="1" t="s">
        <v>721</v>
      </c>
      <c r="AC854" s="5">
        <v>42460</v>
      </c>
      <c r="AF854" s="1">
        <v>10013</v>
      </c>
      <c r="AI854" s="1" t="s">
        <v>633</v>
      </c>
      <c r="AJ854" s="1">
        <v>2014</v>
      </c>
      <c r="AK854" s="1" t="s">
        <v>49</v>
      </c>
      <c r="AL854" s="1">
        <v>25</v>
      </c>
    </row>
    <row r="855" spans="1:38" x14ac:dyDescent="0.2">
      <c r="A855" s="2" t="str">
        <f>HYPERLINK("https://www.compass.com/listing/180-6th-avenue-unit-8a-manhattan-ny-10013/13087408899755825/","180 6th Ave, Unit 8A")</f>
        <v>180 6th Ave, Unit 8A</v>
      </c>
      <c r="B855" s="2" t="str">
        <f t="shared" si="121"/>
        <v>One Vandam</v>
      </c>
      <c r="C855" s="1" t="s">
        <v>50</v>
      </c>
      <c r="D855" s="1" t="s">
        <v>41</v>
      </c>
      <c r="E855" s="3">
        <v>6352644</v>
      </c>
      <c r="F855" s="1">
        <v>2809.6612118531598</v>
      </c>
      <c r="G855" s="1">
        <v>6</v>
      </c>
      <c r="H855" s="1">
        <v>4</v>
      </c>
      <c r="I855" s="1">
        <v>4</v>
      </c>
      <c r="J855" s="1">
        <v>3.5</v>
      </c>
      <c r="M855" s="4">
        <v>2261</v>
      </c>
      <c r="N855" s="1">
        <v>3098</v>
      </c>
      <c r="O855" s="1">
        <v>6043</v>
      </c>
      <c r="P855" s="1">
        <v>2945</v>
      </c>
      <c r="Q855" s="1" t="s">
        <v>42</v>
      </c>
      <c r="S855" s="1" t="s">
        <v>42</v>
      </c>
      <c r="T855" s="1" t="s">
        <v>153</v>
      </c>
      <c r="V855" s="5">
        <v>43631</v>
      </c>
      <c r="W855" s="5">
        <v>42040</v>
      </c>
      <c r="X855" s="1">
        <v>6350000</v>
      </c>
      <c r="Y855" s="1">
        <v>6350000</v>
      </c>
      <c r="Z855" s="5">
        <v>42040</v>
      </c>
      <c r="AA855" s="1">
        <v>6352644</v>
      </c>
      <c r="AB855" s="1" t="s">
        <v>722</v>
      </c>
      <c r="AC855" s="5">
        <v>42574</v>
      </c>
      <c r="AF855" s="1">
        <v>10013</v>
      </c>
      <c r="AI855" s="1" t="s">
        <v>633</v>
      </c>
      <c r="AJ855" s="1">
        <v>2014</v>
      </c>
      <c r="AK855" s="1" t="s">
        <v>49</v>
      </c>
      <c r="AL855" s="1">
        <v>25</v>
      </c>
    </row>
    <row r="856" spans="1:38" x14ac:dyDescent="0.2">
      <c r="A856" s="2" t="str">
        <f>HYPERLINK("https://www.compass.com/listing/180-6th-avenue-unit-9b-manhattan-ny-10013/13087411508657873/","180 6th Ave, Unit 9B")</f>
        <v>180 6th Ave, Unit 9B</v>
      </c>
      <c r="B856" s="2" t="str">
        <f t="shared" si="121"/>
        <v>One Vandam</v>
      </c>
      <c r="C856" s="1" t="s">
        <v>50</v>
      </c>
      <c r="D856" s="1" t="s">
        <v>41</v>
      </c>
      <c r="E856" s="3">
        <v>6417500</v>
      </c>
      <c r="F856" s="1">
        <v>2889.4642053129201</v>
      </c>
      <c r="G856" s="1">
        <v>5</v>
      </c>
      <c r="H856" s="1">
        <v>3</v>
      </c>
      <c r="I856" s="1">
        <v>4</v>
      </c>
      <c r="J856" s="1">
        <v>3.5</v>
      </c>
      <c r="M856" s="4">
        <v>2221</v>
      </c>
      <c r="N856" s="1">
        <v>3040</v>
      </c>
      <c r="O856" s="1">
        <v>5930</v>
      </c>
      <c r="P856" s="1">
        <v>2890</v>
      </c>
      <c r="Q856" s="1" t="s">
        <v>42</v>
      </c>
      <c r="S856" s="1" t="s">
        <v>42</v>
      </c>
      <c r="T856" s="1" t="s">
        <v>153</v>
      </c>
      <c r="U856" s="1">
        <v>167</v>
      </c>
      <c r="V856" s="5">
        <v>43651</v>
      </c>
      <c r="W856" s="5">
        <v>41570</v>
      </c>
      <c r="X856" s="1">
        <v>6300000</v>
      </c>
      <c r="Y856" s="1">
        <v>6300000</v>
      </c>
      <c r="Z856" s="5">
        <v>41737</v>
      </c>
      <c r="AA856" s="1">
        <v>6417500</v>
      </c>
      <c r="AB856" s="1" t="s">
        <v>713</v>
      </c>
      <c r="AC856" s="5">
        <v>42466</v>
      </c>
      <c r="AF856" s="1">
        <v>10013</v>
      </c>
      <c r="AI856" s="1" t="s">
        <v>673</v>
      </c>
      <c r="AJ856" s="1">
        <v>2014</v>
      </c>
      <c r="AK856" s="1" t="s">
        <v>49</v>
      </c>
      <c r="AL856" s="1">
        <v>25</v>
      </c>
    </row>
    <row r="857" spans="1:38" x14ac:dyDescent="0.2">
      <c r="A857" s="2" t="str">
        <f>HYPERLINK("https://www.compass.com/listing/180-6th-avenue-unit-phc-manhattan-ny-10013/13087389404756897/","180 6th Ave, Unit PHC")</f>
        <v>180 6th Ave, Unit PHC</v>
      </c>
      <c r="B857" s="2" t="str">
        <f t="shared" si="121"/>
        <v>One Vandam</v>
      </c>
      <c r="C857" s="1" t="s">
        <v>50</v>
      </c>
      <c r="D857" s="1" t="s">
        <v>41</v>
      </c>
      <c r="E857" s="3">
        <v>14767150</v>
      </c>
      <c r="F857" s="1">
        <v>3102.9943265391798</v>
      </c>
      <c r="G857" s="1">
        <v>8</v>
      </c>
      <c r="H857" s="1">
        <v>5</v>
      </c>
      <c r="I857" s="1">
        <v>5</v>
      </c>
      <c r="J857" s="1">
        <v>0.5</v>
      </c>
      <c r="L857" s="1">
        <v>1</v>
      </c>
      <c r="M857" s="4">
        <v>4759</v>
      </c>
      <c r="N857" s="1">
        <v>6732</v>
      </c>
      <c r="O857" s="1">
        <v>13056</v>
      </c>
      <c r="P857" s="1">
        <v>6324</v>
      </c>
      <c r="Q857" s="1" t="s">
        <v>42</v>
      </c>
      <c r="S857" s="1" t="s">
        <v>42</v>
      </c>
      <c r="T857" s="1" t="s">
        <v>153</v>
      </c>
      <c r="U857" s="1">
        <v>702</v>
      </c>
      <c r="V857" s="5">
        <v>43631</v>
      </c>
      <c r="W857" s="5">
        <v>41948</v>
      </c>
      <c r="X857" s="1">
        <v>17500000</v>
      </c>
      <c r="Y857" s="1">
        <v>15750000</v>
      </c>
      <c r="Z857" s="5">
        <v>42650</v>
      </c>
      <c r="AA857" s="1">
        <v>14767150</v>
      </c>
      <c r="AB857" s="1" t="s">
        <v>718</v>
      </c>
      <c r="AC857" s="5">
        <v>42683</v>
      </c>
      <c r="AF857" s="1">
        <v>10013</v>
      </c>
      <c r="AI857" s="1" t="s">
        <v>85</v>
      </c>
      <c r="AJ857" s="1">
        <v>2014</v>
      </c>
      <c r="AK857" s="1" t="s">
        <v>46</v>
      </c>
      <c r="AL857" s="1">
        <v>25</v>
      </c>
    </row>
    <row r="858" spans="1:38" x14ac:dyDescent="0.2">
      <c r="A858" s="2" t="str">
        <f>HYPERLINK("https://www.compass.com/listing/180-6th-avenue-unit-10a-manhattan-ny-10013/13087399554843617/","180 6th Ave, Unit 10A")</f>
        <v>180 6th Ave, Unit 10A</v>
      </c>
      <c r="B858" s="2" t="str">
        <f t="shared" si="121"/>
        <v>One Vandam</v>
      </c>
      <c r="C858" s="1" t="s">
        <v>50</v>
      </c>
      <c r="D858" s="1" t="s">
        <v>41</v>
      </c>
      <c r="E858" s="3">
        <v>6722975</v>
      </c>
      <c r="F858" s="1">
        <v>2973.4520123839002</v>
      </c>
      <c r="G858" s="1">
        <v>6</v>
      </c>
      <c r="H858" s="1">
        <v>4</v>
      </c>
      <c r="I858" s="1">
        <v>4</v>
      </c>
      <c r="J858" s="1">
        <v>3.5</v>
      </c>
      <c r="M858" s="4">
        <v>2261</v>
      </c>
      <c r="N858" s="1">
        <v>3128</v>
      </c>
      <c r="O858" s="1">
        <v>6102</v>
      </c>
      <c r="P858" s="1">
        <v>2974</v>
      </c>
      <c r="Q858" s="1" t="s">
        <v>42</v>
      </c>
      <c r="S858" s="1" t="s">
        <v>42</v>
      </c>
      <c r="T858" s="1" t="s">
        <v>153</v>
      </c>
      <c r="U858" s="1">
        <v>1</v>
      </c>
      <c r="V858" s="5">
        <v>43637</v>
      </c>
      <c r="W858" s="5">
        <v>41737</v>
      </c>
      <c r="X858" s="1">
        <v>6600000</v>
      </c>
      <c r="Y858" s="1">
        <v>6600000</v>
      </c>
      <c r="Z858" s="5">
        <v>41738</v>
      </c>
      <c r="AA858" s="1">
        <v>6722975</v>
      </c>
      <c r="AB858" s="1" t="s">
        <v>723</v>
      </c>
      <c r="AC858" s="5">
        <v>42459</v>
      </c>
      <c r="AF858" s="1">
        <v>10013</v>
      </c>
      <c r="AI858" s="1" t="s">
        <v>633</v>
      </c>
      <c r="AJ858" s="1">
        <v>2014</v>
      </c>
      <c r="AK858" s="1" t="s">
        <v>49</v>
      </c>
      <c r="AL858" s="1">
        <v>25</v>
      </c>
    </row>
    <row r="859" spans="1:38" x14ac:dyDescent="0.2">
      <c r="A859" s="2" t="str">
        <f>HYPERLINK("https://www.compass.com/listing/180-6th-avenue-unit-8a-manhattan-ny-10013/13087408899755809/","180 6th Ave, Unit 8A")</f>
        <v>180 6th Ave, Unit 8A</v>
      </c>
      <c r="B859" s="2" t="str">
        <f t="shared" si="121"/>
        <v>One Vandam</v>
      </c>
      <c r="C859" s="1" t="s">
        <v>50</v>
      </c>
      <c r="D859" s="1" t="s">
        <v>41</v>
      </c>
      <c r="E859" s="3">
        <v>6352644</v>
      </c>
      <c r="F859" s="1">
        <v>2809.6612118531598</v>
      </c>
      <c r="G859" s="1">
        <v>6</v>
      </c>
      <c r="H859" s="1">
        <v>4</v>
      </c>
      <c r="I859" s="1">
        <v>4</v>
      </c>
      <c r="J859" s="1">
        <v>0.5</v>
      </c>
      <c r="L859" s="1">
        <v>1</v>
      </c>
      <c r="M859" s="4">
        <v>2261</v>
      </c>
      <c r="N859" s="1">
        <v>3098</v>
      </c>
      <c r="O859" s="1">
        <v>6043</v>
      </c>
      <c r="P859" s="1">
        <v>2945</v>
      </c>
      <c r="Q859" s="1" t="s">
        <v>42</v>
      </c>
      <c r="S859" s="1" t="s">
        <v>42</v>
      </c>
      <c r="T859" s="1" t="s">
        <v>153</v>
      </c>
      <c r="V859" s="5">
        <v>43631</v>
      </c>
      <c r="W859" s="5">
        <v>42040</v>
      </c>
      <c r="X859" s="1">
        <v>6350000</v>
      </c>
      <c r="Y859" s="1">
        <v>6350000</v>
      </c>
      <c r="Z859" s="5">
        <v>42040</v>
      </c>
      <c r="AA859" s="1">
        <v>6352644</v>
      </c>
      <c r="AB859" s="1" t="s">
        <v>722</v>
      </c>
      <c r="AC859" s="5">
        <v>42574</v>
      </c>
      <c r="AF859" s="1">
        <v>10013</v>
      </c>
      <c r="AI859" s="1" t="s">
        <v>85</v>
      </c>
      <c r="AJ859" s="1">
        <v>2014</v>
      </c>
      <c r="AK859" s="1" t="s">
        <v>46</v>
      </c>
      <c r="AL859" s="1">
        <v>25</v>
      </c>
    </row>
    <row r="860" spans="1:38" x14ac:dyDescent="0.2">
      <c r="A860" s="2" t="str">
        <f>HYPERLINK("https://www.compass.com/listing/180-6th-avenue-unit-10b-manhattan-ny-10013/29676905233932385/","180 6th Ave, Unit 10B")</f>
        <v>180 6th Ave, Unit 10B</v>
      </c>
      <c r="B860" s="2" t="str">
        <f t="shared" si="121"/>
        <v>One Vandam</v>
      </c>
      <c r="C860" s="1" t="s">
        <v>50</v>
      </c>
      <c r="D860" s="1" t="s">
        <v>41</v>
      </c>
      <c r="E860" s="3">
        <v>6500000</v>
      </c>
      <c r="F860" s="1">
        <v>2926.60963529941</v>
      </c>
      <c r="G860" s="1">
        <v>5</v>
      </c>
      <c r="H860" s="1">
        <v>3</v>
      </c>
      <c r="I860" s="1">
        <v>4</v>
      </c>
      <c r="J860" s="1">
        <v>3.5</v>
      </c>
      <c r="M860" s="4">
        <v>2221</v>
      </c>
      <c r="N860" s="1">
        <v>3119</v>
      </c>
      <c r="O860" s="1">
        <v>6023</v>
      </c>
      <c r="P860" s="1">
        <v>2904</v>
      </c>
      <c r="Q860" s="1" t="s">
        <v>42</v>
      </c>
      <c r="S860" s="1" t="s">
        <v>42</v>
      </c>
      <c r="T860" s="1" t="s">
        <v>153</v>
      </c>
      <c r="U860" s="1">
        <v>3</v>
      </c>
      <c r="V860" s="5">
        <v>43649</v>
      </c>
      <c r="W860" s="5">
        <v>41986</v>
      </c>
      <c r="X860" s="1">
        <v>6500000</v>
      </c>
      <c r="Y860" s="1">
        <v>6500000</v>
      </c>
      <c r="Z860" s="5">
        <v>41989</v>
      </c>
      <c r="AA860" s="1">
        <v>6500000</v>
      </c>
      <c r="AB860" s="1" t="s">
        <v>714</v>
      </c>
      <c r="AC860" s="5">
        <v>42466</v>
      </c>
      <c r="AF860" s="1">
        <v>10013</v>
      </c>
      <c r="AI860" s="1" t="s">
        <v>673</v>
      </c>
      <c r="AJ860" s="1">
        <v>2014</v>
      </c>
      <c r="AK860" s="1" t="s">
        <v>49</v>
      </c>
      <c r="AL860" s="1">
        <v>25</v>
      </c>
    </row>
    <row r="861" spans="1:38" x14ac:dyDescent="0.2">
      <c r="A861" s="2" t="str">
        <f>HYPERLINK("https://www.compass.com/listing/180-6th-avenue-unit-8b-manhattan-ny-10013/4852267913010227681/","180 6th Ave, Unit 8B")</f>
        <v>180 6th Ave, Unit 8B</v>
      </c>
      <c r="B861" s="2" t="str">
        <f t="shared" si="121"/>
        <v>One Vandam</v>
      </c>
      <c r="C861" s="1" t="s">
        <v>50</v>
      </c>
      <c r="D861" s="1" t="s">
        <v>41</v>
      </c>
      <c r="E861" s="3">
        <v>5500000</v>
      </c>
      <c r="F861" s="1">
        <v>2476.3619990994998</v>
      </c>
      <c r="G861" s="1">
        <v>5</v>
      </c>
      <c r="H861" s="1">
        <v>3</v>
      </c>
      <c r="I861" s="1">
        <v>4</v>
      </c>
      <c r="J861" s="1">
        <v>3.5</v>
      </c>
      <c r="M861" s="4">
        <v>2221</v>
      </c>
      <c r="N861" s="1">
        <v>3089</v>
      </c>
      <c r="O861" s="1">
        <v>5965</v>
      </c>
      <c r="P861" s="1">
        <v>2876</v>
      </c>
      <c r="Q861" s="1" t="s">
        <v>42</v>
      </c>
      <c r="S861" s="1" t="s">
        <v>42</v>
      </c>
      <c r="T861" s="1" t="s">
        <v>153</v>
      </c>
      <c r="U861" s="1">
        <v>462</v>
      </c>
      <c r="V861" s="5">
        <v>42879</v>
      </c>
      <c r="W861" s="5">
        <v>41736</v>
      </c>
      <c r="X861" s="1">
        <v>6200000</v>
      </c>
      <c r="Y861" s="1">
        <v>6200000</v>
      </c>
      <c r="AA861" s="1">
        <v>5500000</v>
      </c>
      <c r="AB861" s="1" t="s">
        <v>724</v>
      </c>
      <c r="AC861" s="5">
        <v>42614</v>
      </c>
      <c r="AF861" s="1">
        <v>10013</v>
      </c>
      <c r="AI861" s="1" t="s">
        <v>673</v>
      </c>
      <c r="AJ861" s="1">
        <v>2014</v>
      </c>
      <c r="AK861" s="1" t="s">
        <v>46</v>
      </c>
      <c r="AL861" s="1">
        <v>25</v>
      </c>
    </row>
    <row r="862" spans="1:38" x14ac:dyDescent="0.2">
      <c r="A862" s="2" t="str">
        <f>HYPERLINK("https://www.compass.com/listing/180-6th-avenue-unit-6b-manhattan-ny-10013/4839369439000399025/","180 6th Ave, Unit 6B")</f>
        <v>180 6th Ave, Unit 6B</v>
      </c>
      <c r="B862" s="2" t="str">
        <f t="shared" si="121"/>
        <v>One Vandam</v>
      </c>
      <c r="C862" s="1" t="s">
        <v>50</v>
      </c>
      <c r="D862" s="1" t="s">
        <v>41</v>
      </c>
      <c r="E862" s="3">
        <v>6618625</v>
      </c>
      <c r="F862" s="1">
        <v>2721.4740953947298</v>
      </c>
      <c r="G862" s="1">
        <v>5</v>
      </c>
      <c r="H862" s="1">
        <v>3</v>
      </c>
      <c r="I862" s="1">
        <v>4</v>
      </c>
      <c r="J862" s="1">
        <v>3.5</v>
      </c>
      <c r="M862" s="4">
        <v>2432</v>
      </c>
      <c r="N862" s="1">
        <v>3416</v>
      </c>
      <c r="O862" s="1">
        <v>6598</v>
      </c>
      <c r="P862" s="1">
        <v>3182</v>
      </c>
      <c r="Q862" s="1" t="s">
        <v>42</v>
      </c>
      <c r="S862" s="1" t="s">
        <v>42</v>
      </c>
      <c r="T862" s="1" t="s">
        <v>153</v>
      </c>
      <c r="U862" s="1">
        <v>300</v>
      </c>
      <c r="V862" s="5">
        <v>43631</v>
      </c>
      <c r="W862" s="5">
        <v>41740</v>
      </c>
      <c r="X862" s="1">
        <v>6500000</v>
      </c>
      <c r="Y862" s="1">
        <v>6500000</v>
      </c>
      <c r="Z862" s="5">
        <v>42040</v>
      </c>
      <c r="AA862" s="1">
        <v>6618625</v>
      </c>
      <c r="AB862" s="1" t="s">
        <v>709</v>
      </c>
      <c r="AC862" s="5">
        <v>42446</v>
      </c>
      <c r="AF862" s="1">
        <v>10013</v>
      </c>
      <c r="AI862" s="1" t="s">
        <v>673</v>
      </c>
      <c r="AJ862" s="1">
        <v>2014</v>
      </c>
      <c r="AK862" s="1" t="s">
        <v>49</v>
      </c>
      <c r="AL862" s="1">
        <v>25</v>
      </c>
    </row>
    <row r="863" spans="1:38" x14ac:dyDescent="0.2">
      <c r="A863" s="2" t="str">
        <f>HYPERLINK("https://www.compass.com/listing/180-6th-avenue-unit-10a-manhattan-ny-10013/13087399554843601/","180 6th Ave, Unit 10A")</f>
        <v>180 6th Ave, Unit 10A</v>
      </c>
      <c r="B863" s="2" t="str">
        <f t="shared" si="121"/>
        <v>One Vandam</v>
      </c>
      <c r="C863" s="1" t="s">
        <v>50</v>
      </c>
      <c r="D863" s="1" t="s">
        <v>41</v>
      </c>
      <c r="E863" s="3">
        <v>6722975</v>
      </c>
      <c r="F863" s="1">
        <v>2973.4520123839002</v>
      </c>
      <c r="G863" s="1">
        <v>6</v>
      </c>
      <c r="H863" s="1">
        <v>4</v>
      </c>
      <c r="I863" s="1">
        <v>4</v>
      </c>
      <c r="J863" s="1">
        <v>0.5</v>
      </c>
      <c r="L863" s="1">
        <v>1</v>
      </c>
      <c r="M863" s="4">
        <v>2261</v>
      </c>
      <c r="N863" s="1">
        <v>3127</v>
      </c>
      <c r="O863" s="1">
        <v>6101</v>
      </c>
      <c r="P863" s="1">
        <v>2974</v>
      </c>
      <c r="Q863" s="1" t="s">
        <v>42</v>
      </c>
      <c r="S863" s="1" t="s">
        <v>42</v>
      </c>
      <c r="T863" s="1" t="s">
        <v>153</v>
      </c>
      <c r="U863" s="1">
        <v>1</v>
      </c>
      <c r="V863" s="5">
        <v>43631</v>
      </c>
      <c r="W863" s="5">
        <v>41737</v>
      </c>
      <c r="X863" s="1">
        <v>6600000</v>
      </c>
      <c r="Y863" s="1">
        <v>6600000</v>
      </c>
      <c r="Z863" s="5">
        <v>41738</v>
      </c>
      <c r="AA863" s="1">
        <v>6722975</v>
      </c>
      <c r="AB863" s="1" t="s">
        <v>723</v>
      </c>
      <c r="AC863" s="5">
        <v>42459</v>
      </c>
      <c r="AF863" s="1">
        <v>10013</v>
      </c>
      <c r="AI863" s="1" t="s">
        <v>85</v>
      </c>
      <c r="AJ863" s="1">
        <v>2014</v>
      </c>
      <c r="AK863" s="1" t="s">
        <v>46</v>
      </c>
      <c r="AL863" s="1">
        <v>25</v>
      </c>
    </row>
    <row r="864" spans="1:38" x14ac:dyDescent="0.2">
      <c r="A864" s="2" t="str">
        <f>HYPERLINK("https://www.compass.com/listing/54-greene-street-unit-3a-manhattan-ny-10013/29362478907458865/","54 Greene St, Unit 3A")</f>
        <v>54 Greene St, Unit 3A</v>
      </c>
      <c r="B864" s="2" t="str">
        <f t="shared" ref="B864:B865" si="122">HYPERLINK("https://www.compass.com/building/54-greene-st-manhattan-ny-10013/292817693046776565/","54 Greene St")</f>
        <v>54 Greene St</v>
      </c>
      <c r="C864" s="1" t="s">
        <v>50</v>
      </c>
      <c r="D864" s="1" t="s">
        <v>41</v>
      </c>
      <c r="E864" s="3">
        <v>2674740</v>
      </c>
      <c r="F864" s="1">
        <v>1597.8136200716799</v>
      </c>
      <c r="G864" s="1">
        <v>4</v>
      </c>
      <c r="H864" s="1">
        <v>1</v>
      </c>
      <c r="I864" s="1">
        <v>2</v>
      </c>
      <c r="J864" s="1">
        <v>2</v>
      </c>
      <c r="M864" s="4">
        <v>1674</v>
      </c>
      <c r="N864" s="1">
        <v>566</v>
      </c>
      <c r="O864" s="1">
        <v>1315</v>
      </c>
      <c r="P864" s="1">
        <v>749</v>
      </c>
      <c r="Q864" s="1" t="s">
        <v>42</v>
      </c>
      <c r="S864" s="1" t="s">
        <v>42</v>
      </c>
      <c r="T864" s="1" t="s">
        <v>153</v>
      </c>
      <c r="U864" s="1">
        <v>23</v>
      </c>
      <c r="V864" s="5">
        <v>43666</v>
      </c>
      <c r="W864" s="5">
        <v>42679</v>
      </c>
      <c r="X864" s="1">
        <v>2626800</v>
      </c>
      <c r="Y864" s="1">
        <v>2626800</v>
      </c>
      <c r="Z864" s="5">
        <v>42702</v>
      </c>
      <c r="AA864" s="1">
        <v>2674740</v>
      </c>
      <c r="AB864" s="1" t="s">
        <v>725</v>
      </c>
      <c r="AC864" s="5">
        <v>42914</v>
      </c>
      <c r="AF864" s="1">
        <v>10013</v>
      </c>
      <c r="AI864" s="1" t="s">
        <v>145</v>
      </c>
      <c r="AJ864" s="1">
        <v>1910</v>
      </c>
      <c r="AL864" s="1">
        <v>5</v>
      </c>
    </row>
    <row r="865" spans="1:38" x14ac:dyDescent="0.2">
      <c r="A865" s="2" t="str">
        <f>HYPERLINK("https://www.compass.com/listing/54-greene-street-unit-3b-manhattan-ny-10013/28302218021054625/","54 Greene St, Unit 3B")</f>
        <v>54 Greene St, Unit 3B</v>
      </c>
      <c r="B865" s="2" t="str">
        <f t="shared" si="122"/>
        <v>54 Greene St</v>
      </c>
      <c r="C865" s="1" t="s">
        <v>50</v>
      </c>
      <c r="D865" s="1" t="s">
        <v>41</v>
      </c>
      <c r="E865" s="3">
        <v>5600375</v>
      </c>
      <c r="F865" s="1">
        <v>1952.0303241547499</v>
      </c>
      <c r="G865" s="1">
        <v>5</v>
      </c>
      <c r="H865" s="1">
        <v>3</v>
      </c>
      <c r="I865" s="1">
        <v>3</v>
      </c>
      <c r="J865" s="1">
        <v>2.5</v>
      </c>
      <c r="M865" s="4">
        <v>2869</v>
      </c>
      <c r="N865" s="1">
        <v>1143</v>
      </c>
      <c r="O865" s="1">
        <v>2655</v>
      </c>
      <c r="P865" s="1">
        <v>1512</v>
      </c>
      <c r="Q865" s="1" t="s">
        <v>42</v>
      </c>
      <c r="S865" s="1" t="s">
        <v>42</v>
      </c>
      <c r="T865" s="1" t="s">
        <v>153</v>
      </c>
      <c r="U865" s="1">
        <v>49</v>
      </c>
      <c r="V865" s="5">
        <v>43640</v>
      </c>
      <c r="W865" s="5">
        <v>42679</v>
      </c>
      <c r="X865" s="1">
        <v>5870975</v>
      </c>
      <c r="Y865" s="1">
        <v>5870975</v>
      </c>
      <c r="Z865" s="5">
        <v>42728</v>
      </c>
      <c r="AA865" s="1">
        <v>5600375</v>
      </c>
      <c r="AB865" s="1" t="s">
        <v>726</v>
      </c>
      <c r="AC865" s="5">
        <v>43245</v>
      </c>
      <c r="AF865" s="1">
        <v>10013</v>
      </c>
      <c r="AI865" s="1" t="s">
        <v>145</v>
      </c>
      <c r="AJ865" s="1">
        <v>1910</v>
      </c>
      <c r="AL865" s="1">
        <v>5</v>
      </c>
    </row>
    <row r="866" spans="1:38" x14ac:dyDescent="0.2">
      <c r="A866" s="2" t="str">
        <f>HYPERLINK("https://www.compass.com/listing/449-washington-street-unit-3-manhattan-ny-10013/29359549882334705/","449 Washington St, Unit 3")</f>
        <v>449 Washington St, Unit 3</v>
      </c>
      <c r="B866" s="2" t="str">
        <f>HYPERLINK("https://www.compass.com/building/449-washington-street-manhattan-ny/281919898303629445/","449 Washington Street")</f>
        <v>449 Washington Street</v>
      </c>
      <c r="C866" s="1" t="s">
        <v>65</v>
      </c>
      <c r="D866" s="1" t="s">
        <v>41</v>
      </c>
      <c r="E866" s="3">
        <v>2400000</v>
      </c>
      <c r="F866" s="1">
        <v>1441.44144144144</v>
      </c>
      <c r="G866" s="1">
        <v>4</v>
      </c>
      <c r="H866" s="1">
        <v>2</v>
      </c>
      <c r="I866" s="1">
        <v>2</v>
      </c>
      <c r="J866" s="1">
        <v>2</v>
      </c>
      <c r="M866" s="4">
        <v>1665</v>
      </c>
      <c r="N866" s="1">
        <v>1484</v>
      </c>
      <c r="O866" s="1">
        <v>2969</v>
      </c>
      <c r="P866" s="1">
        <v>1485</v>
      </c>
      <c r="Q866" s="1" t="s">
        <v>42</v>
      </c>
      <c r="S866" s="1" t="s">
        <v>42</v>
      </c>
      <c r="T866" s="1" t="s">
        <v>153</v>
      </c>
      <c r="U866" s="1">
        <v>121</v>
      </c>
      <c r="V866" s="5">
        <v>43662</v>
      </c>
      <c r="W866" s="5">
        <v>42752</v>
      </c>
      <c r="X866" s="1">
        <v>2895000</v>
      </c>
      <c r="Y866" s="1">
        <v>2750000</v>
      </c>
      <c r="Z866" s="5">
        <v>42873</v>
      </c>
      <c r="AA866" s="1">
        <v>2400000</v>
      </c>
      <c r="AB866" s="1" t="s">
        <v>727</v>
      </c>
      <c r="AC866" s="5">
        <v>42888</v>
      </c>
      <c r="AF866" s="1">
        <v>10013</v>
      </c>
      <c r="AI866" s="1" t="s">
        <v>110</v>
      </c>
      <c r="AJ866" s="1">
        <v>1920</v>
      </c>
      <c r="AK866" s="1" t="s">
        <v>728</v>
      </c>
      <c r="AL866" s="1">
        <v>4</v>
      </c>
    </row>
    <row r="867" spans="1:38" x14ac:dyDescent="0.2">
      <c r="A867" s="2" t="str">
        <f>HYPERLINK("https://www.compass.com/listing/180-6th-avenue-unit-7b-manhattan-ny-10013/803314151963305193/","180 6th Ave, Unit 7B")</f>
        <v>180 6th Ave, Unit 7B</v>
      </c>
      <c r="B867" s="2" t="str">
        <f>HYPERLINK("https://www.compass.com/building/one-vandam-manhattan-ny/307436879024291493/","One Vandam")</f>
        <v>One Vandam</v>
      </c>
      <c r="C867" s="1" t="s">
        <v>50</v>
      </c>
      <c r="D867" s="1" t="s">
        <v>41</v>
      </c>
      <c r="E867" s="3">
        <v>5857463</v>
      </c>
      <c r="F867" s="1">
        <v>2637.3086447546102</v>
      </c>
      <c r="G867" s="1">
        <v>6</v>
      </c>
      <c r="H867" s="1">
        <v>3</v>
      </c>
      <c r="I867" s="1">
        <v>4</v>
      </c>
      <c r="J867" s="1">
        <v>3.5</v>
      </c>
      <c r="M867" s="4">
        <v>2221</v>
      </c>
      <c r="N867" s="1">
        <v>3073</v>
      </c>
      <c r="O867" s="1">
        <v>5960</v>
      </c>
      <c r="P867" s="1">
        <v>2887</v>
      </c>
      <c r="Q867" s="1" t="s">
        <v>42</v>
      </c>
      <c r="S867" s="1" t="s">
        <v>42</v>
      </c>
      <c r="T867" s="1" t="s">
        <v>153</v>
      </c>
      <c r="U867" s="1">
        <v>17</v>
      </c>
      <c r="V867" s="5">
        <v>42879</v>
      </c>
      <c r="W867" s="5">
        <v>42584</v>
      </c>
      <c r="X867" s="1">
        <v>565000</v>
      </c>
      <c r="Y867" s="1">
        <v>5750000</v>
      </c>
      <c r="Z867" s="5">
        <v>42602</v>
      </c>
      <c r="AA867" s="1">
        <v>5857462.5</v>
      </c>
      <c r="AB867" s="1" t="s">
        <v>729</v>
      </c>
      <c r="AC867" s="5">
        <v>42660</v>
      </c>
      <c r="AF867" s="1">
        <v>10013</v>
      </c>
      <c r="AI867" s="1" t="s">
        <v>51</v>
      </c>
      <c r="AJ867" s="1">
        <v>2014</v>
      </c>
      <c r="AK867" s="1" t="s">
        <v>49</v>
      </c>
      <c r="AL867" s="1">
        <v>25</v>
      </c>
    </row>
    <row r="868" spans="1:38" x14ac:dyDescent="0.2">
      <c r="A868" s="2" t="str">
        <f>HYPERLINK("https://www.compass.com/listing/71-laight-street-unit-2f-manhattan-ny-10013/29510300449402753/","71 Laight St, Unit 2F")</f>
        <v>71 Laight St, Unit 2F</v>
      </c>
      <c r="B868" s="2" t="str">
        <f>HYPERLINK("https://www.compass.com/building/the-sterling-mason-manhattan-ny/281919618778432805/","The Sterling Mason")</f>
        <v>The Sterling Mason</v>
      </c>
      <c r="C868" s="1" t="s">
        <v>65</v>
      </c>
      <c r="D868" s="1" t="s">
        <v>41</v>
      </c>
      <c r="E868" s="3">
        <v>5350000</v>
      </c>
      <c r="F868" s="1">
        <v>2220.8385222083798</v>
      </c>
      <c r="G868" s="1">
        <v>7</v>
      </c>
      <c r="H868" s="1">
        <v>3</v>
      </c>
      <c r="I868" s="1">
        <v>4</v>
      </c>
      <c r="J868" s="1">
        <v>3.5</v>
      </c>
      <c r="K868" s="1">
        <v>3</v>
      </c>
      <c r="L868" s="1">
        <v>1</v>
      </c>
      <c r="M868" s="4">
        <v>2409</v>
      </c>
      <c r="N868" s="1">
        <v>3891.64</v>
      </c>
      <c r="O868" s="1">
        <v>6092.6399999999903</v>
      </c>
      <c r="P868" s="1">
        <v>2201</v>
      </c>
      <c r="Q868" s="1" t="s">
        <v>42</v>
      </c>
      <c r="S868" s="1" t="s">
        <v>42</v>
      </c>
      <c r="T868" s="1" t="s">
        <v>153</v>
      </c>
      <c r="U868" s="1">
        <v>297</v>
      </c>
      <c r="V868" s="5">
        <v>43648</v>
      </c>
      <c r="W868" s="5">
        <v>43138</v>
      </c>
      <c r="X868" s="1">
        <v>5950000</v>
      </c>
      <c r="Y868" s="1">
        <v>5700000</v>
      </c>
      <c r="Z868" s="5">
        <v>43435</v>
      </c>
      <c r="AA868" s="1">
        <v>5350000</v>
      </c>
      <c r="AB868" s="1" t="s">
        <v>177</v>
      </c>
      <c r="AC868" s="5">
        <v>43497</v>
      </c>
      <c r="AF868" s="1">
        <v>10013</v>
      </c>
      <c r="AI868" s="1" t="s">
        <v>180</v>
      </c>
      <c r="AJ868" s="1">
        <v>2015</v>
      </c>
      <c r="AK868" s="1" t="s">
        <v>46</v>
      </c>
      <c r="AL868" s="1">
        <v>33</v>
      </c>
    </row>
    <row r="869" spans="1:38" x14ac:dyDescent="0.2">
      <c r="A869" s="2" t="str">
        <f>HYPERLINK("https://www.compass.com/listing/449-washington-street-unit-1-manhattan-ny-10013/70923353506041217/","449 Washington St, Unit 1")</f>
        <v>449 Washington St, Unit 1</v>
      </c>
      <c r="B869" s="2" t="str">
        <f>HYPERLINK("https://www.compass.com/building/449-washington-street-manhattan-ny/281919898303629445/","449 Washington Street")</f>
        <v>449 Washington Street</v>
      </c>
      <c r="C869" s="1" t="s">
        <v>65</v>
      </c>
      <c r="D869" s="1" t="s">
        <v>41</v>
      </c>
      <c r="E869" s="3">
        <v>5086159</v>
      </c>
      <c r="F869" s="1">
        <v>1571.7425834363401</v>
      </c>
      <c r="G869" s="1">
        <v>5</v>
      </c>
      <c r="H869" s="1">
        <v>3</v>
      </c>
      <c r="I869" s="1">
        <v>3</v>
      </c>
      <c r="J869" s="1">
        <v>3</v>
      </c>
      <c r="K869" s="1">
        <v>3</v>
      </c>
      <c r="M869" s="4">
        <v>3236</v>
      </c>
      <c r="N869" s="1">
        <v>2882</v>
      </c>
      <c r="O869" s="1">
        <v>5392</v>
      </c>
      <c r="P869" s="1">
        <v>2510</v>
      </c>
      <c r="Q869" s="1" t="s">
        <v>42</v>
      </c>
      <c r="S869" s="1" t="s">
        <v>42</v>
      </c>
      <c r="T869" s="1" t="s">
        <v>153</v>
      </c>
      <c r="U869" s="1">
        <v>270</v>
      </c>
      <c r="V869" s="5">
        <v>43678</v>
      </c>
      <c r="W869" s="5">
        <v>42139</v>
      </c>
      <c r="X869" s="1">
        <v>5995000</v>
      </c>
      <c r="Y869" s="1">
        <v>4995000</v>
      </c>
      <c r="Z869" s="5">
        <v>42409</v>
      </c>
      <c r="AA869" s="1">
        <v>5086159</v>
      </c>
      <c r="AB869" s="1" t="s">
        <v>174</v>
      </c>
      <c r="AC869" s="5">
        <v>42462</v>
      </c>
      <c r="AF869" s="1">
        <v>10013</v>
      </c>
      <c r="AI869" s="1" t="s">
        <v>107</v>
      </c>
      <c r="AJ869" s="1">
        <v>1920</v>
      </c>
      <c r="AK869" s="1" t="s">
        <v>64</v>
      </c>
      <c r="AL869" s="1">
        <v>4</v>
      </c>
    </row>
    <row r="870" spans="1:38" x14ac:dyDescent="0.2">
      <c r="A870" s="2" t="str">
        <f>HYPERLINK("https://www.compass.com/listing/110-charlton-street-unit-22a-manhattan-ny-10014/207050016899041297/","110 Charlton St, Unit 22A")</f>
        <v>110 Charlton St, Unit 22A</v>
      </c>
      <c r="B870" s="2" t="str">
        <f>HYPERLINK("https://www.compass.com/building/greenwich-west-manhattan-ny/282058690331179733/","Greenwich West")</f>
        <v>Greenwich West</v>
      </c>
      <c r="C870" s="1" t="s">
        <v>50</v>
      </c>
      <c r="D870" s="1" t="s">
        <v>41</v>
      </c>
      <c r="E870" s="3">
        <v>3875000</v>
      </c>
      <c r="F870" s="1">
        <v>2396.4131106988202</v>
      </c>
      <c r="G870" s="1">
        <v>4</v>
      </c>
      <c r="H870" s="1">
        <v>2</v>
      </c>
      <c r="I870" s="1">
        <v>3</v>
      </c>
      <c r="J870" s="1">
        <v>2.5</v>
      </c>
      <c r="K870" s="1">
        <v>2</v>
      </c>
      <c r="L870" s="1">
        <v>1</v>
      </c>
      <c r="M870" s="4">
        <v>1617</v>
      </c>
      <c r="N870" s="1">
        <v>1454</v>
      </c>
      <c r="O870" s="1">
        <v>3084</v>
      </c>
      <c r="P870" s="1">
        <v>1630</v>
      </c>
      <c r="Q870" s="1" t="s">
        <v>42</v>
      </c>
      <c r="S870" s="1" t="s">
        <v>42</v>
      </c>
      <c r="T870" s="1" t="s">
        <v>153</v>
      </c>
      <c r="U870" s="1">
        <v>113</v>
      </c>
      <c r="V870" s="5">
        <v>44281</v>
      </c>
      <c r="W870" s="5">
        <v>43535</v>
      </c>
      <c r="X870" s="1">
        <v>3875000</v>
      </c>
      <c r="AB870" s="1" t="s">
        <v>177</v>
      </c>
      <c r="AF870" s="1">
        <v>10014</v>
      </c>
      <c r="AI870" s="1" t="s">
        <v>51</v>
      </c>
      <c r="AJ870" s="1">
        <v>2020</v>
      </c>
      <c r="AK870" s="1" t="s">
        <v>49</v>
      </c>
      <c r="AL870" s="1">
        <v>170</v>
      </c>
    </row>
    <row r="871" spans="1:38" x14ac:dyDescent="0.2">
      <c r="A871" s="2" t="str">
        <f>HYPERLINK("https://www.compass.com/listing/180-6th-avenue-unit-7b-manhattan-ny-10013/4839369456037665009/","180 6th Ave, Unit 7B")</f>
        <v>180 6th Ave, Unit 7B</v>
      </c>
      <c r="B871" s="2" t="str">
        <f>HYPERLINK("https://www.compass.com/building/one-vandam-manhattan-ny/307436879024291493/","One Vandam")</f>
        <v>One Vandam</v>
      </c>
      <c r="C871" s="1" t="s">
        <v>50</v>
      </c>
      <c r="D871" s="1" t="s">
        <v>41</v>
      </c>
      <c r="E871" s="3">
        <v>5857463</v>
      </c>
      <c r="F871" s="1">
        <v>2637.3086447546102</v>
      </c>
      <c r="G871" s="1">
        <v>6</v>
      </c>
      <c r="H871" s="1">
        <v>3</v>
      </c>
      <c r="I871" s="1">
        <v>4</v>
      </c>
      <c r="J871" s="1">
        <v>0.5</v>
      </c>
      <c r="L871" s="1">
        <v>1</v>
      </c>
      <c r="M871" s="4">
        <v>2221</v>
      </c>
      <c r="N871" s="1">
        <v>3073</v>
      </c>
      <c r="O871" s="1">
        <v>5960</v>
      </c>
      <c r="P871" s="1">
        <v>2887</v>
      </c>
      <c r="Q871" s="1" t="s">
        <v>42</v>
      </c>
      <c r="S871" s="1" t="s">
        <v>42</v>
      </c>
      <c r="T871" s="1" t="s">
        <v>153</v>
      </c>
      <c r="U871" s="1">
        <v>76</v>
      </c>
      <c r="V871" s="5">
        <v>43203</v>
      </c>
      <c r="W871" s="5">
        <v>42584</v>
      </c>
      <c r="X871" s="1">
        <v>5650000</v>
      </c>
      <c r="Y871" s="1">
        <v>5650000</v>
      </c>
      <c r="AA871" s="1">
        <v>5857462.5</v>
      </c>
      <c r="AB871" s="1" t="s">
        <v>729</v>
      </c>
      <c r="AC871" s="5">
        <v>42660</v>
      </c>
      <c r="AF871" s="1">
        <v>10013</v>
      </c>
      <c r="AI871" s="1" t="s">
        <v>712</v>
      </c>
      <c r="AJ871" s="1">
        <v>2014</v>
      </c>
      <c r="AK871" s="1" t="s">
        <v>46</v>
      </c>
      <c r="AL871" s="1">
        <v>25</v>
      </c>
    </row>
    <row r="872" spans="1:38" x14ac:dyDescent="0.2">
      <c r="A872" s="2" t="str">
        <f>HYPERLINK("https://www.compass.com/listing/71-laight-street-unit-3a-manhattan-ny-10013/29359346743825553/","71 Laight St, Unit 3A")</f>
        <v>71 Laight St, Unit 3A</v>
      </c>
      <c r="B872" s="2" t="str">
        <f>HYPERLINK("https://www.compass.com/building/the-sterling-mason-manhattan-ny/281919618778432805/","The Sterling Mason")</f>
        <v>The Sterling Mason</v>
      </c>
      <c r="C872" s="1" t="s">
        <v>65</v>
      </c>
      <c r="D872" s="1" t="s">
        <v>41</v>
      </c>
      <c r="E872" s="3">
        <v>3850000</v>
      </c>
      <c r="F872" s="1">
        <v>1885.4064642507301</v>
      </c>
      <c r="G872" s="1">
        <v>4</v>
      </c>
      <c r="H872" s="1">
        <v>2</v>
      </c>
      <c r="I872" s="1">
        <v>3</v>
      </c>
      <c r="J872" s="1">
        <v>2.5</v>
      </c>
      <c r="M872" s="4">
        <v>2042</v>
      </c>
      <c r="N872" s="1">
        <v>3266</v>
      </c>
      <c r="O872" s="1">
        <v>4516</v>
      </c>
      <c r="P872" s="1">
        <v>1250</v>
      </c>
      <c r="Q872" s="1" t="s">
        <v>42</v>
      </c>
      <c r="S872" s="1" t="s">
        <v>42</v>
      </c>
      <c r="T872" s="1" t="s">
        <v>153</v>
      </c>
      <c r="U872" s="1">
        <v>205</v>
      </c>
      <c r="V872" s="5">
        <v>44209</v>
      </c>
      <c r="W872" s="5">
        <v>42928</v>
      </c>
      <c r="X872" s="1">
        <v>4500000</v>
      </c>
      <c r="Y872" s="1">
        <v>4100000</v>
      </c>
      <c r="Z872" s="5">
        <v>43133</v>
      </c>
      <c r="AA872" s="1">
        <v>3850000</v>
      </c>
      <c r="AB872" s="1" t="s">
        <v>730</v>
      </c>
      <c r="AC872" s="5">
        <v>43195</v>
      </c>
      <c r="AF872" s="1">
        <v>10013</v>
      </c>
      <c r="AI872" s="1" t="s">
        <v>66</v>
      </c>
      <c r="AJ872" s="1">
        <v>2015</v>
      </c>
      <c r="AK872" s="1" t="s">
        <v>49</v>
      </c>
      <c r="AL872" s="1">
        <v>33</v>
      </c>
    </row>
    <row r="873" spans="1:38" x14ac:dyDescent="0.2">
      <c r="A873" s="2" t="str">
        <f>HYPERLINK("https://www.compass.com/listing/15-hubert-street-unit-2b-manhattan-ny-10013/29359217987082081/","15 Hubert St, Unit 2B")</f>
        <v>15 Hubert St, Unit 2B</v>
      </c>
      <c r="B873" s="2" t="str">
        <f t="shared" ref="B873:B881" si="123">HYPERLINK("https://www.compass.com/building/15-hubert-st-manhattan-ny-10013/281929572709086677/","15 Hubert St")</f>
        <v>15 Hubert St</v>
      </c>
      <c r="C873" s="1" t="s">
        <v>65</v>
      </c>
      <c r="D873" s="1" t="s">
        <v>41</v>
      </c>
      <c r="E873" s="3">
        <v>3250000</v>
      </c>
      <c r="F873" s="1">
        <v>1414.2732811140099</v>
      </c>
      <c r="G873" s="1">
        <v>5</v>
      </c>
      <c r="H873" s="1">
        <v>2</v>
      </c>
      <c r="I873" s="1">
        <v>3</v>
      </c>
      <c r="J873" s="1">
        <v>2.5</v>
      </c>
      <c r="M873" s="4">
        <v>2298</v>
      </c>
      <c r="N873" s="1">
        <v>1997</v>
      </c>
      <c r="O873" s="1">
        <v>4796</v>
      </c>
      <c r="P873" s="1">
        <v>2799</v>
      </c>
      <c r="Q873" s="1" t="s">
        <v>42</v>
      </c>
      <c r="S873" s="1" t="s">
        <v>42</v>
      </c>
      <c r="T873" s="1" t="s">
        <v>153</v>
      </c>
      <c r="V873" s="5">
        <v>43631</v>
      </c>
      <c r="W873" s="5">
        <v>42125</v>
      </c>
      <c r="X873" s="1">
        <v>3325000</v>
      </c>
      <c r="Y873" s="1">
        <v>3325000</v>
      </c>
      <c r="Z873" s="5">
        <v>42125</v>
      </c>
      <c r="AA873" s="1">
        <v>3250000</v>
      </c>
      <c r="AB873" s="1" t="s">
        <v>731</v>
      </c>
      <c r="AC873" s="5">
        <v>42782</v>
      </c>
      <c r="AF873" s="1">
        <v>10013</v>
      </c>
      <c r="AI873" s="1" t="s">
        <v>107</v>
      </c>
      <c r="AJ873" s="1">
        <v>1867</v>
      </c>
      <c r="AK873" s="1" t="s">
        <v>59</v>
      </c>
      <c r="AL873" s="1">
        <v>13</v>
      </c>
    </row>
    <row r="874" spans="1:38" x14ac:dyDescent="0.2">
      <c r="A874" s="2" t="str">
        <f>HYPERLINK("https://www.compass.com/listing/15-hubert-street-unit-2c-manhattan-ny-10013/29359218649745425/","15 Hubert St, Unit 2C")</f>
        <v>15 Hubert St, Unit 2C</v>
      </c>
      <c r="B874" s="2" t="str">
        <f t="shared" si="123"/>
        <v>15 Hubert St</v>
      </c>
      <c r="C874" s="1" t="s">
        <v>65</v>
      </c>
      <c r="D874" s="1" t="s">
        <v>41</v>
      </c>
      <c r="E874" s="3">
        <v>3100000</v>
      </c>
      <c r="F874" s="1">
        <v>1366.24063464081</v>
      </c>
      <c r="G874" s="1">
        <v>4</v>
      </c>
      <c r="H874" s="1">
        <v>2</v>
      </c>
      <c r="I874" s="1">
        <v>3</v>
      </c>
      <c r="J874" s="1">
        <v>2.5</v>
      </c>
      <c r="M874" s="4">
        <v>2269</v>
      </c>
      <c r="N874" s="1">
        <v>1898</v>
      </c>
      <c r="O874" s="1">
        <v>4558</v>
      </c>
      <c r="P874" s="1">
        <v>2660</v>
      </c>
      <c r="Q874" s="1" t="s">
        <v>42</v>
      </c>
      <c r="S874" s="1" t="s">
        <v>42</v>
      </c>
      <c r="T874" s="1" t="s">
        <v>153</v>
      </c>
      <c r="U874" s="1">
        <v>20</v>
      </c>
      <c r="V874" s="5">
        <v>43630</v>
      </c>
      <c r="W874" s="5">
        <v>42104</v>
      </c>
      <c r="X874" s="1">
        <v>3175000</v>
      </c>
      <c r="Y874" s="1">
        <v>3175000</v>
      </c>
      <c r="Z874" s="5">
        <v>42124</v>
      </c>
      <c r="AA874" s="1">
        <v>3100000</v>
      </c>
      <c r="AB874" s="1" t="s">
        <v>732</v>
      </c>
      <c r="AC874" s="5">
        <v>42780</v>
      </c>
      <c r="AF874" s="1">
        <v>10013</v>
      </c>
      <c r="AI874" s="1" t="s">
        <v>107</v>
      </c>
      <c r="AJ874" s="1">
        <v>1867</v>
      </c>
      <c r="AK874" s="1" t="s">
        <v>59</v>
      </c>
      <c r="AL874" s="1">
        <v>13</v>
      </c>
    </row>
    <row r="875" spans="1:38" x14ac:dyDescent="0.2">
      <c r="A875" s="2" t="str">
        <f>HYPERLINK("https://www.compass.com/listing/15-hubert-street-unit-3c-manhattan-ny-10013/29359220025513873/","15 Hubert St, Unit 3C")</f>
        <v>15 Hubert St, Unit 3C</v>
      </c>
      <c r="B875" s="2" t="str">
        <f t="shared" si="123"/>
        <v>15 Hubert St</v>
      </c>
      <c r="C875" s="1" t="s">
        <v>65</v>
      </c>
      <c r="D875" s="1" t="s">
        <v>41</v>
      </c>
      <c r="E875" s="3">
        <v>3150000</v>
      </c>
      <c r="F875" s="1">
        <v>1388.2767739092101</v>
      </c>
      <c r="G875" s="1">
        <v>5</v>
      </c>
      <c r="H875" s="1">
        <v>2</v>
      </c>
      <c r="I875" s="1">
        <v>3</v>
      </c>
      <c r="J875" s="1">
        <v>2.5</v>
      </c>
      <c r="M875" s="4">
        <v>2269</v>
      </c>
      <c r="N875" s="1">
        <v>1972</v>
      </c>
      <c r="O875" s="1">
        <v>4735</v>
      </c>
      <c r="P875" s="1">
        <v>2763</v>
      </c>
      <c r="Q875" s="1" t="s">
        <v>42</v>
      </c>
      <c r="S875" s="1" t="s">
        <v>42</v>
      </c>
      <c r="T875" s="1" t="s">
        <v>153</v>
      </c>
      <c r="U875" s="1">
        <v>31</v>
      </c>
      <c r="V875" s="5">
        <v>43631</v>
      </c>
      <c r="W875" s="5">
        <v>42094</v>
      </c>
      <c r="X875" s="1">
        <v>3225000</v>
      </c>
      <c r="Y875" s="1">
        <v>3225000</v>
      </c>
      <c r="Z875" s="5">
        <v>42125</v>
      </c>
      <c r="AA875" s="1">
        <v>3150000</v>
      </c>
      <c r="AB875" s="1" t="s">
        <v>733</v>
      </c>
      <c r="AC875" s="5">
        <v>42780</v>
      </c>
      <c r="AF875" s="1">
        <v>10013</v>
      </c>
      <c r="AI875" s="1" t="s">
        <v>107</v>
      </c>
      <c r="AJ875" s="1">
        <v>1867</v>
      </c>
      <c r="AK875" s="1" t="s">
        <v>59</v>
      </c>
      <c r="AL875" s="1">
        <v>13</v>
      </c>
    </row>
    <row r="876" spans="1:38" x14ac:dyDescent="0.2">
      <c r="A876" s="2" t="str">
        <f>HYPERLINK("https://www.compass.com/listing/15-hubert-street-unit-4b-manhattan-ny-10013/29359220688177233/","15 Hubert St, Unit 4B")</f>
        <v>15 Hubert St, Unit 4B</v>
      </c>
      <c r="B876" s="2" t="str">
        <f t="shared" si="123"/>
        <v>15 Hubert St</v>
      </c>
      <c r="C876" s="1" t="s">
        <v>65</v>
      </c>
      <c r="D876" s="1" t="s">
        <v>41</v>
      </c>
      <c r="E876" s="3">
        <v>3400000</v>
      </c>
      <c r="F876" s="1">
        <v>1468.0483592400601</v>
      </c>
      <c r="G876" s="1">
        <v>5</v>
      </c>
      <c r="H876" s="1">
        <v>2</v>
      </c>
      <c r="I876" s="1">
        <v>3</v>
      </c>
      <c r="J876" s="1">
        <v>2.5</v>
      </c>
      <c r="M876" s="4">
        <v>2316</v>
      </c>
      <c r="N876" s="1">
        <v>2195</v>
      </c>
      <c r="O876" s="1">
        <v>5271</v>
      </c>
      <c r="P876" s="1">
        <v>3076</v>
      </c>
      <c r="Q876" s="1" t="s">
        <v>42</v>
      </c>
      <c r="S876" s="1" t="s">
        <v>42</v>
      </c>
      <c r="T876" s="1" t="s">
        <v>153</v>
      </c>
      <c r="V876" s="5">
        <v>43631</v>
      </c>
      <c r="W876" s="5">
        <v>42125</v>
      </c>
      <c r="X876" s="1">
        <v>3475000</v>
      </c>
      <c r="Y876" s="1">
        <v>3475000</v>
      </c>
      <c r="Z876" s="5">
        <v>42125</v>
      </c>
      <c r="AA876" s="1">
        <v>3400000</v>
      </c>
      <c r="AB876" s="1" t="s">
        <v>734</v>
      </c>
      <c r="AC876" s="5">
        <v>42774</v>
      </c>
      <c r="AF876" s="1">
        <v>10013</v>
      </c>
      <c r="AI876" s="1" t="s">
        <v>107</v>
      </c>
      <c r="AJ876" s="1">
        <v>1867</v>
      </c>
      <c r="AK876" s="1" t="s">
        <v>59</v>
      </c>
      <c r="AL876" s="1">
        <v>13</v>
      </c>
    </row>
    <row r="877" spans="1:38" x14ac:dyDescent="0.2">
      <c r="A877" s="2" t="str">
        <f>HYPERLINK("https://www.compass.com/listing/15-hubert-street-unit-4c-manhattan-ny-10013/29669331981847601/","15 Hubert St, Unit 4C")</f>
        <v>15 Hubert St, Unit 4C</v>
      </c>
      <c r="B877" s="2" t="str">
        <f t="shared" si="123"/>
        <v>15 Hubert St</v>
      </c>
      <c r="C877" s="1" t="s">
        <v>65</v>
      </c>
      <c r="D877" s="1" t="s">
        <v>41</v>
      </c>
      <c r="E877" s="3">
        <v>3250000</v>
      </c>
      <c r="F877" s="1">
        <v>1432.3490524460101</v>
      </c>
      <c r="G877" s="1">
        <v>5</v>
      </c>
      <c r="H877" s="1">
        <v>2</v>
      </c>
      <c r="I877" s="1">
        <v>3</v>
      </c>
      <c r="J877" s="1">
        <v>2.5</v>
      </c>
      <c r="M877" s="4">
        <v>2269</v>
      </c>
      <c r="N877" s="1">
        <v>2130</v>
      </c>
      <c r="O877" s="1">
        <v>5115</v>
      </c>
      <c r="P877" s="1">
        <v>2985</v>
      </c>
      <c r="Q877" s="1" t="s">
        <v>42</v>
      </c>
      <c r="S877" s="1" t="s">
        <v>42</v>
      </c>
      <c r="T877" s="1" t="s">
        <v>153</v>
      </c>
      <c r="V877" s="5">
        <v>43630</v>
      </c>
      <c r="W877" s="5">
        <v>42125</v>
      </c>
      <c r="X877" s="1">
        <v>3325000</v>
      </c>
      <c r="Y877" s="1">
        <v>3325000</v>
      </c>
      <c r="Z877" s="5">
        <v>42125</v>
      </c>
      <c r="AA877" s="1">
        <v>3250000</v>
      </c>
      <c r="AB877" s="1" t="s">
        <v>735</v>
      </c>
      <c r="AC877" s="5">
        <v>42801</v>
      </c>
      <c r="AF877" s="1">
        <v>10013</v>
      </c>
      <c r="AI877" s="1" t="s">
        <v>107</v>
      </c>
      <c r="AJ877" s="1">
        <v>1867</v>
      </c>
      <c r="AK877" s="1" t="s">
        <v>59</v>
      </c>
      <c r="AL877" s="1">
        <v>13</v>
      </c>
    </row>
    <row r="878" spans="1:38" x14ac:dyDescent="0.2">
      <c r="A878" s="2" t="str">
        <f>HYPERLINK("https://www.compass.com/listing/15-hubert-street-unit-3b-manhattan-ny-10013/29669380392499409/","15 Hubert St, Unit 3B")</f>
        <v>15 Hubert St, Unit 3B</v>
      </c>
      <c r="B878" s="2" t="str">
        <f t="shared" si="123"/>
        <v>15 Hubert St</v>
      </c>
      <c r="C878" s="1" t="s">
        <v>65</v>
      </c>
      <c r="D878" s="1" t="s">
        <v>41</v>
      </c>
      <c r="E878" s="3">
        <v>3300000</v>
      </c>
      <c r="F878" s="1">
        <v>1424.87046632124</v>
      </c>
      <c r="G878" s="1">
        <v>5</v>
      </c>
      <c r="H878" s="1">
        <v>2</v>
      </c>
      <c r="I878" s="1">
        <v>3</v>
      </c>
      <c r="J878" s="1">
        <v>2.5</v>
      </c>
      <c r="M878" s="4">
        <v>2316</v>
      </c>
      <c r="N878" s="1">
        <v>2082</v>
      </c>
      <c r="O878" s="1">
        <v>4999</v>
      </c>
      <c r="P878" s="1">
        <v>2917</v>
      </c>
      <c r="Q878" s="1" t="s">
        <v>42</v>
      </c>
      <c r="S878" s="1" t="s">
        <v>42</v>
      </c>
      <c r="T878" s="1" t="s">
        <v>153</v>
      </c>
      <c r="V878" s="5">
        <v>43630</v>
      </c>
      <c r="W878" s="5">
        <v>42125</v>
      </c>
      <c r="X878" s="1">
        <v>3375000</v>
      </c>
      <c r="Y878" s="1">
        <v>3375000</v>
      </c>
      <c r="Z878" s="5">
        <v>42125</v>
      </c>
      <c r="AA878" s="1">
        <v>3300000</v>
      </c>
      <c r="AB878" s="1" t="s">
        <v>736</v>
      </c>
      <c r="AC878" s="5">
        <v>42830</v>
      </c>
      <c r="AF878" s="1">
        <v>10013</v>
      </c>
      <c r="AI878" s="1" t="s">
        <v>107</v>
      </c>
      <c r="AJ878" s="1">
        <v>1867</v>
      </c>
      <c r="AK878" s="1" t="s">
        <v>59</v>
      </c>
      <c r="AL878" s="1">
        <v>13</v>
      </c>
    </row>
    <row r="879" spans="1:38" x14ac:dyDescent="0.2">
      <c r="A879" s="2" t="str">
        <f>HYPERLINK("https://www.compass.com/listing/15-hubert-street-unit-2a-manhattan-ny-10013/29359217617946625/","15 Hubert St, Unit 2A")</f>
        <v>15 Hubert St, Unit 2A</v>
      </c>
      <c r="B879" s="2" t="str">
        <f t="shared" si="123"/>
        <v>15 Hubert St</v>
      </c>
      <c r="C879" s="1" t="s">
        <v>65</v>
      </c>
      <c r="D879" s="1" t="s">
        <v>41</v>
      </c>
      <c r="E879" s="3">
        <v>4270000</v>
      </c>
      <c r="F879" s="1">
        <v>1716.2379421221799</v>
      </c>
      <c r="G879" s="1">
        <v>5</v>
      </c>
      <c r="H879" s="1">
        <v>2</v>
      </c>
      <c r="I879" s="1">
        <v>3</v>
      </c>
      <c r="J879" s="1">
        <v>2.5</v>
      </c>
      <c r="M879" s="4">
        <v>2488</v>
      </c>
      <c r="N879" s="1">
        <v>2211</v>
      </c>
      <c r="O879" s="1">
        <v>5310</v>
      </c>
      <c r="P879" s="1">
        <v>3099</v>
      </c>
      <c r="Q879" s="1" t="s">
        <v>42</v>
      </c>
      <c r="S879" s="1" t="s">
        <v>42</v>
      </c>
      <c r="T879" s="1" t="s">
        <v>153</v>
      </c>
      <c r="U879" s="1">
        <v>147</v>
      </c>
      <c r="V879" s="5">
        <v>43633</v>
      </c>
      <c r="W879" s="5">
        <v>42843</v>
      </c>
      <c r="X879" s="1">
        <v>4795000</v>
      </c>
      <c r="Y879" s="1">
        <v>4495000</v>
      </c>
      <c r="Z879" s="5">
        <v>42990</v>
      </c>
      <c r="AA879" s="1">
        <v>4270000</v>
      </c>
      <c r="AB879" s="1" t="s">
        <v>737</v>
      </c>
      <c r="AC879" s="5">
        <v>43046</v>
      </c>
      <c r="AF879" s="1">
        <v>10013</v>
      </c>
      <c r="AI879" s="1" t="s">
        <v>107</v>
      </c>
      <c r="AJ879" s="1">
        <v>1867</v>
      </c>
      <c r="AK879" s="1" t="s">
        <v>59</v>
      </c>
      <c r="AL879" s="1">
        <v>13</v>
      </c>
    </row>
    <row r="880" spans="1:38" x14ac:dyDescent="0.2">
      <c r="A880" s="2" t="str">
        <f>HYPERLINK("https://www.compass.com/listing/15-hubert-street-unit-2a-manhattan-ny-10013/783174567680306921/","15 Hubert St, Unit 2A")</f>
        <v>15 Hubert St, Unit 2A</v>
      </c>
      <c r="B880" s="2" t="str">
        <f t="shared" si="123"/>
        <v>15 Hubert St</v>
      </c>
      <c r="C880" s="1" t="s">
        <v>65</v>
      </c>
      <c r="D880" s="1" t="s">
        <v>41</v>
      </c>
      <c r="E880" s="3">
        <v>3550000</v>
      </c>
      <c r="F880" s="1">
        <v>1426.8488745980701</v>
      </c>
      <c r="G880" s="1">
        <v>4</v>
      </c>
      <c r="H880" s="1">
        <v>2</v>
      </c>
      <c r="I880" s="1">
        <v>3</v>
      </c>
      <c r="J880" s="1">
        <v>2.5</v>
      </c>
      <c r="M880" s="4">
        <v>2488</v>
      </c>
      <c r="N880" s="1">
        <v>2212</v>
      </c>
      <c r="O880" s="1">
        <v>5311</v>
      </c>
      <c r="P880" s="1">
        <v>3099</v>
      </c>
      <c r="Q880" s="1" t="s">
        <v>42</v>
      </c>
      <c r="S880" s="1" t="s">
        <v>42</v>
      </c>
      <c r="T880" s="1" t="s">
        <v>153</v>
      </c>
      <c r="U880" s="1">
        <v>31</v>
      </c>
      <c r="V880" s="5">
        <v>42796</v>
      </c>
      <c r="W880" s="5">
        <v>42093</v>
      </c>
      <c r="X880" s="1">
        <v>1</v>
      </c>
      <c r="Y880" s="1">
        <v>3625000</v>
      </c>
      <c r="Z880" s="5">
        <v>42125</v>
      </c>
      <c r="AA880" s="1">
        <v>3550000</v>
      </c>
      <c r="AB880" s="1" t="s">
        <v>738</v>
      </c>
      <c r="AC880" s="5">
        <v>42782</v>
      </c>
      <c r="AF880" s="1">
        <v>10013</v>
      </c>
      <c r="AI880" s="1" t="s">
        <v>107</v>
      </c>
      <c r="AJ880" s="1">
        <v>1867</v>
      </c>
      <c r="AK880" s="1" t="s">
        <v>59</v>
      </c>
      <c r="AL880" s="1">
        <v>13</v>
      </c>
    </row>
    <row r="881" spans="1:38" x14ac:dyDescent="0.2">
      <c r="A881" s="2" t="str">
        <f>HYPERLINK("https://www.compass.com/listing/15-hubert-street-unit-4a-manhattan-ny-10013/783189968506378697/","15 Hubert St, Unit 4A")</f>
        <v>15 Hubert St, Unit 4A</v>
      </c>
      <c r="B881" s="2" t="str">
        <f t="shared" si="123"/>
        <v>15 Hubert St</v>
      </c>
      <c r="C881" s="1" t="s">
        <v>65</v>
      </c>
      <c r="D881" s="1" t="s">
        <v>41</v>
      </c>
      <c r="E881" s="3">
        <v>3700000</v>
      </c>
      <c r="F881" s="1">
        <v>1477.6357827475999</v>
      </c>
      <c r="G881" s="1">
        <v>5</v>
      </c>
      <c r="H881" s="1">
        <v>2</v>
      </c>
      <c r="I881" s="1">
        <v>3</v>
      </c>
      <c r="J881" s="1">
        <v>2.5</v>
      </c>
      <c r="M881" s="4">
        <v>2504</v>
      </c>
      <c r="N881" s="1">
        <v>2424</v>
      </c>
      <c r="O881" s="1">
        <v>5820</v>
      </c>
      <c r="P881" s="1">
        <v>3396</v>
      </c>
      <c r="Q881" s="1" t="s">
        <v>42</v>
      </c>
      <c r="S881" s="1" t="s">
        <v>42</v>
      </c>
      <c r="T881" s="1" t="s">
        <v>153</v>
      </c>
      <c r="U881" s="1">
        <v>30</v>
      </c>
      <c r="V881" s="5">
        <v>42796</v>
      </c>
      <c r="W881" s="5">
        <v>42094</v>
      </c>
      <c r="X881" s="1">
        <v>3775000</v>
      </c>
      <c r="Y881" s="1">
        <v>3775000</v>
      </c>
      <c r="Z881" s="5">
        <v>42125</v>
      </c>
      <c r="AA881" s="1">
        <v>3700000</v>
      </c>
      <c r="AB881" s="1" t="s">
        <v>739</v>
      </c>
      <c r="AC881" s="5">
        <v>42774</v>
      </c>
      <c r="AF881" s="1">
        <v>10013</v>
      </c>
      <c r="AI881" s="1" t="s">
        <v>107</v>
      </c>
      <c r="AJ881" s="1">
        <v>1867</v>
      </c>
      <c r="AK881" s="1" t="s">
        <v>59</v>
      </c>
      <c r="AL881" s="1">
        <v>13</v>
      </c>
    </row>
    <row r="882" spans="1:38" x14ac:dyDescent="0.2">
      <c r="A882" s="2" t="str">
        <f>HYPERLINK("https://www.compass.com/listing/71-laight-street-unit-2c-manhattan-ny-10013/755864522926101233/","71 Laight St, Unit 2C")</f>
        <v>71 Laight St, Unit 2C</v>
      </c>
      <c r="B882" s="2" t="str">
        <f t="shared" ref="B882:B883" si="124">HYPERLINK("https://www.compass.com/building/the-sterling-mason-manhattan-ny/281919618778432805/","The Sterling Mason")</f>
        <v>The Sterling Mason</v>
      </c>
      <c r="C882" s="1" t="s">
        <v>65</v>
      </c>
      <c r="D882" s="1" t="s">
        <v>41</v>
      </c>
      <c r="E882" s="3">
        <v>9375000</v>
      </c>
      <c r="F882" s="1">
        <v>2528.3171521035501</v>
      </c>
      <c r="G882" s="1">
        <v>7</v>
      </c>
      <c r="H882" s="1">
        <v>5</v>
      </c>
      <c r="I882" s="1">
        <v>6</v>
      </c>
      <c r="J882" s="1">
        <v>5.5</v>
      </c>
      <c r="K882" s="1">
        <v>5</v>
      </c>
      <c r="L882" s="1">
        <v>1</v>
      </c>
      <c r="M882" s="4">
        <v>3708</v>
      </c>
      <c r="N882" s="1">
        <v>6080</v>
      </c>
      <c r="O882" s="1">
        <v>10525</v>
      </c>
      <c r="P882" s="1">
        <v>4445</v>
      </c>
      <c r="Q882" s="1" t="s">
        <v>42</v>
      </c>
      <c r="S882" s="1" t="s">
        <v>42</v>
      </c>
      <c r="T882" s="1" t="s">
        <v>153</v>
      </c>
      <c r="U882" s="1">
        <v>81</v>
      </c>
      <c r="V882" s="5">
        <v>44406</v>
      </c>
      <c r="W882" s="5">
        <v>44295</v>
      </c>
      <c r="X882" s="1">
        <v>9800000</v>
      </c>
      <c r="Y882" s="1">
        <v>9800000</v>
      </c>
      <c r="Z882" s="5">
        <v>44377</v>
      </c>
      <c r="AA882" s="1">
        <v>9375000</v>
      </c>
      <c r="AB882" s="1" t="s">
        <v>177</v>
      </c>
      <c r="AC882" s="5">
        <v>44405</v>
      </c>
      <c r="AF882" s="1">
        <v>10013</v>
      </c>
      <c r="AI882" s="1" t="s">
        <v>180</v>
      </c>
      <c r="AJ882" s="1">
        <v>2015</v>
      </c>
      <c r="AK882" s="1" t="s">
        <v>46</v>
      </c>
      <c r="AL882" s="1">
        <v>33</v>
      </c>
    </row>
    <row r="883" spans="1:38" x14ac:dyDescent="0.2">
      <c r="A883" s="2" t="str">
        <f>HYPERLINK("https://www.compass.com/listing/71-laight-street-unit-mais-1b-manhattan-ny-10013/236138948408157601/","71 Laight St, Unit MAIS-1B")</f>
        <v>71 Laight St, Unit MAIS-1B</v>
      </c>
      <c r="B883" s="2" t="str">
        <f t="shared" si="124"/>
        <v>The Sterling Mason</v>
      </c>
      <c r="C883" s="1" t="s">
        <v>65</v>
      </c>
      <c r="D883" s="1" t="s">
        <v>41</v>
      </c>
      <c r="E883" s="3">
        <v>5825000</v>
      </c>
      <c r="F883" s="1">
        <v>2345.00805152979</v>
      </c>
      <c r="G883" s="1">
        <v>5</v>
      </c>
      <c r="H883" s="1">
        <v>3</v>
      </c>
      <c r="I883" s="1">
        <v>4</v>
      </c>
      <c r="J883" s="1">
        <v>3.5</v>
      </c>
      <c r="K883" s="1">
        <v>3</v>
      </c>
      <c r="L883" s="1">
        <v>1</v>
      </c>
      <c r="M883" s="4">
        <v>2484</v>
      </c>
      <c r="N883" s="1">
        <v>4206</v>
      </c>
      <c r="O883" s="1">
        <v>7119</v>
      </c>
      <c r="P883" s="1">
        <v>2913</v>
      </c>
      <c r="Q883" s="1" t="s">
        <v>42</v>
      </c>
      <c r="S883" s="1" t="s">
        <v>42</v>
      </c>
      <c r="T883" s="1" t="s">
        <v>153</v>
      </c>
      <c r="U883" s="1">
        <v>42</v>
      </c>
      <c r="V883" s="5">
        <v>43697</v>
      </c>
      <c r="W883" s="5">
        <v>43578</v>
      </c>
      <c r="X883" s="1">
        <v>5825000</v>
      </c>
      <c r="Y883" s="1">
        <v>5825000</v>
      </c>
      <c r="Z883" s="5">
        <v>43620</v>
      </c>
      <c r="AA883" s="1">
        <v>5825000</v>
      </c>
      <c r="AB883" s="1" t="s">
        <v>177</v>
      </c>
      <c r="AC883" s="5">
        <v>43644</v>
      </c>
      <c r="AF883" s="1">
        <v>10013</v>
      </c>
      <c r="AI883" s="1" t="s">
        <v>75</v>
      </c>
      <c r="AJ883" s="1">
        <v>2015</v>
      </c>
      <c r="AK883" s="1" t="s">
        <v>46</v>
      </c>
      <c r="AL883" s="1">
        <v>33</v>
      </c>
    </row>
    <row r="884" spans="1:38" x14ac:dyDescent="0.2">
      <c r="A884" s="2" t="str">
        <f>HYPERLINK("https://www.compass.com/listing/110-charlton-street-unit-15h-manhattan-ny-10014/176836383309148049/","110 Charlton St, Unit 15H")</f>
        <v>110 Charlton St, Unit 15H</v>
      </c>
      <c r="B884" s="2" t="str">
        <f>HYPERLINK("https://www.compass.com/building/greenwich-west-manhattan-ny/282058690331179733/","Greenwich West")</f>
        <v>Greenwich West</v>
      </c>
      <c r="C884" s="1" t="s">
        <v>50</v>
      </c>
      <c r="D884" s="1" t="s">
        <v>41</v>
      </c>
      <c r="E884" s="3">
        <v>1670000</v>
      </c>
      <c r="F884" s="1">
        <v>1849.39091915836</v>
      </c>
      <c r="G884" s="1">
        <v>3</v>
      </c>
      <c r="H884" s="1">
        <v>1</v>
      </c>
      <c r="I884" s="1">
        <v>1</v>
      </c>
      <c r="J884" s="1">
        <v>1</v>
      </c>
      <c r="K884" s="1">
        <v>1</v>
      </c>
      <c r="M884" s="1">
        <v>903</v>
      </c>
      <c r="N884" s="1">
        <v>812</v>
      </c>
      <c r="O884" s="1">
        <v>2589</v>
      </c>
      <c r="P884" s="1">
        <v>1777</v>
      </c>
      <c r="Q884" s="1" t="s">
        <v>42</v>
      </c>
      <c r="S884" s="1" t="s">
        <v>42</v>
      </c>
      <c r="T884" s="1" t="s">
        <v>153</v>
      </c>
      <c r="U884" s="1">
        <v>49</v>
      </c>
      <c r="V884" s="5">
        <v>44273</v>
      </c>
      <c r="W884" s="5">
        <v>43495</v>
      </c>
      <c r="X884" s="1">
        <v>1670000</v>
      </c>
      <c r="AB884" s="1" t="s">
        <v>177</v>
      </c>
      <c r="AF884" s="1">
        <v>10014</v>
      </c>
      <c r="AI884" s="1" t="s">
        <v>51</v>
      </c>
      <c r="AJ884" s="1">
        <v>2020</v>
      </c>
      <c r="AK884" s="1" t="s">
        <v>49</v>
      </c>
      <c r="AL884" s="1">
        <v>170</v>
      </c>
    </row>
    <row r="885" spans="1:38" x14ac:dyDescent="0.2">
      <c r="A885" s="2" t="str">
        <f>HYPERLINK("https://www.compass.com/listing/15-hubert-street-unit-phc-manhattan-ny-10013/29676884295964865/","15 Hubert St, Unit PHC")</f>
        <v>15 Hubert St, Unit PHC</v>
      </c>
      <c r="B885" s="2" t="str">
        <f t="shared" ref="B885:B886" si="125">HYPERLINK("https://www.compass.com/building/15-hubert-st-manhattan-ny-10013/281929572709086677/","15 Hubert St")</f>
        <v>15 Hubert St</v>
      </c>
      <c r="C885" s="1" t="s">
        <v>65</v>
      </c>
      <c r="D885" s="1" t="s">
        <v>41</v>
      </c>
      <c r="E885" s="3">
        <v>5995000</v>
      </c>
      <c r="F885" s="1">
        <v>2118.3745583038799</v>
      </c>
      <c r="G885" s="1">
        <v>5</v>
      </c>
      <c r="H885" s="1">
        <v>2</v>
      </c>
      <c r="I885" s="1">
        <v>4</v>
      </c>
      <c r="J885" s="1">
        <v>3.5</v>
      </c>
      <c r="M885" s="4">
        <v>2830</v>
      </c>
      <c r="N885" s="1">
        <v>2870</v>
      </c>
      <c r="O885" s="1">
        <v>4921</v>
      </c>
      <c r="P885" s="1">
        <v>2051</v>
      </c>
      <c r="Q885" s="1" t="s">
        <v>42</v>
      </c>
      <c r="S885" s="1" t="s">
        <v>42</v>
      </c>
      <c r="T885" s="1" t="s">
        <v>153</v>
      </c>
      <c r="U885" s="1">
        <v>161</v>
      </c>
      <c r="V885" s="5">
        <v>43640</v>
      </c>
      <c r="W885" s="5">
        <v>43175</v>
      </c>
      <c r="X885" s="1">
        <v>6250000</v>
      </c>
      <c r="Y885" s="1">
        <v>5995000</v>
      </c>
      <c r="Z885" s="5">
        <v>43336</v>
      </c>
      <c r="AA885" s="1">
        <v>5995000</v>
      </c>
      <c r="AB885" s="1" t="s">
        <v>177</v>
      </c>
      <c r="AC885" s="5">
        <v>43423</v>
      </c>
      <c r="AF885" s="1">
        <v>10013</v>
      </c>
      <c r="AI885" s="1" t="s">
        <v>740</v>
      </c>
      <c r="AJ885" s="1">
        <v>1867</v>
      </c>
      <c r="AK885" s="1" t="s">
        <v>64</v>
      </c>
      <c r="AL885" s="1">
        <v>13</v>
      </c>
    </row>
    <row r="886" spans="1:38" x14ac:dyDescent="0.2">
      <c r="A886" s="2" t="str">
        <f>HYPERLINK("https://www.compass.com/listing/15-hubert-street-unit-3a-manhattan-ny-10013/29359219337643569/","15 Hubert St, Unit 3A")</f>
        <v>15 Hubert St, Unit 3A</v>
      </c>
      <c r="B886" s="2" t="str">
        <f t="shared" si="125"/>
        <v>15 Hubert St</v>
      </c>
      <c r="C886" s="1" t="s">
        <v>65</v>
      </c>
      <c r="D886" s="1" t="s">
        <v>41</v>
      </c>
      <c r="E886" s="3">
        <v>4375000</v>
      </c>
      <c r="F886" s="1">
        <v>1747.20447284345</v>
      </c>
      <c r="G886" s="1">
        <v>5</v>
      </c>
      <c r="H886" s="1">
        <v>2</v>
      </c>
      <c r="I886" s="1">
        <v>3</v>
      </c>
      <c r="J886" s="1">
        <v>2.5</v>
      </c>
      <c r="M886" s="4">
        <v>2504</v>
      </c>
      <c r="N886" s="1">
        <v>2353</v>
      </c>
      <c r="O886" s="1">
        <v>5650</v>
      </c>
      <c r="P886" s="1">
        <v>3297</v>
      </c>
      <c r="Q886" s="1" t="s">
        <v>42</v>
      </c>
      <c r="S886" s="1" t="s">
        <v>42</v>
      </c>
      <c r="T886" s="1" t="s">
        <v>153</v>
      </c>
      <c r="V886" s="5">
        <v>43630</v>
      </c>
      <c r="W886" s="5">
        <v>42125</v>
      </c>
      <c r="X886" s="1">
        <v>3675000</v>
      </c>
      <c r="Y886" s="1">
        <v>3675000</v>
      </c>
      <c r="Z886" s="5">
        <v>42125</v>
      </c>
      <c r="AA886" s="1">
        <v>4375000</v>
      </c>
      <c r="AB886" s="1" t="s">
        <v>741</v>
      </c>
      <c r="AC886" s="5">
        <v>42825</v>
      </c>
      <c r="AF886" s="1">
        <v>10013</v>
      </c>
      <c r="AI886" s="1" t="s">
        <v>107</v>
      </c>
      <c r="AJ886" s="1">
        <v>1867</v>
      </c>
      <c r="AK886" s="1" t="s">
        <v>59</v>
      </c>
      <c r="AL886" s="1">
        <v>13</v>
      </c>
    </row>
    <row r="887" spans="1:38" x14ac:dyDescent="0.2">
      <c r="A887" s="2" t="str">
        <f>HYPERLINK("https://www.compass.com/listing/449-washington-street-unit-ph-manhattan-ny-10013/4852349787183264481/","449 Washington St, Unit PH")</f>
        <v>449 Washington St, Unit PH</v>
      </c>
      <c r="B887" s="2" t="str">
        <f>HYPERLINK("https://www.compass.com/building/449-washington-street-manhattan-ny/281919898303629445/","449 Washington Street")</f>
        <v>449 Washington Street</v>
      </c>
      <c r="C887" s="1" t="s">
        <v>65</v>
      </c>
      <c r="D887" s="1" t="s">
        <v>41</v>
      </c>
      <c r="E887" s="3">
        <v>6500000</v>
      </c>
      <c r="F887" s="1">
        <v>2058.9166930630299</v>
      </c>
      <c r="G887" s="1">
        <v>7</v>
      </c>
      <c r="H887" s="1">
        <v>4</v>
      </c>
      <c r="I887" s="1">
        <v>2</v>
      </c>
      <c r="J887" s="1">
        <v>2</v>
      </c>
      <c r="K887" s="1">
        <v>2</v>
      </c>
      <c r="M887" s="4">
        <v>3157</v>
      </c>
      <c r="N887" s="1">
        <v>2812</v>
      </c>
      <c r="O887" s="1">
        <v>5261</v>
      </c>
      <c r="P887" s="1">
        <v>2449</v>
      </c>
      <c r="Q887" s="1" t="s">
        <v>42</v>
      </c>
      <c r="S887" s="1" t="s">
        <v>42</v>
      </c>
      <c r="T887" s="1" t="s">
        <v>153</v>
      </c>
      <c r="U887" s="1">
        <v>21</v>
      </c>
      <c r="V887" s="5">
        <v>43671</v>
      </c>
      <c r="W887" s="5">
        <v>42340</v>
      </c>
      <c r="X887" s="1">
        <v>6500000</v>
      </c>
      <c r="Y887" s="1">
        <v>6500000</v>
      </c>
      <c r="Z887" s="5">
        <v>42361</v>
      </c>
      <c r="AA887" s="1">
        <v>6500000</v>
      </c>
      <c r="AB887" s="1" t="s">
        <v>177</v>
      </c>
      <c r="AC887" s="5">
        <v>42413</v>
      </c>
      <c r="AF887" s="1">
        <v>10013</v>
      </c>
      <c r="AI887" s="1" t="s">
        <v>135</v>
      </c>
      <c r="AJ887" s="1">
        <v>1920</v>
      </c>
      <c r="AK887" s="1" t="s">
        <v>64</v>
      </c>
      <c r="AL887" s="1">
        <v>4</v>
      </c>
    </row>
    <row r="888" spans="1:38" x14ac:dyDescent="0.2">
      <c r="A888" s="2" t="str">
        <f>HYPERLINK("https://www.compass.com/listing/101-leonard-street-unit-9e-manhattan-ny-10013/75299616387557073/","101 Leonard St, Unit 9E")</f>
        <v>101 Leonard St, Unit 9E</v>
      </c>
      <c r="B888" s="2" t="str">
        <f t="shared" ref="B888:B889" si="126">HYPERLINK("https://www.compass.com/building/the-leonard-manhattan-ny/281919139939910965/","The Leonard")</f>
        <v>The Leonard</v>
      </c>
      <c r="C888" s="1" t="s">
        <v>65</v>
      </c>
      <c r="D888" s="1" t="s">
        <v>41</v>
      </c>
      <c r="E888" s="3">
        <v>2900000</v>
      </c>
      <c r="F888" s="1">
        <v>1469.84287886467</v>
      </c>
      <c r="G888" s="1">
        <v>5</v>
      </c>
      <c r="H888" s="1">
        <v>3</v>
      </c>
      <c r="I888" s="1">
        <v>3</v>
      </c>
      <c r="J888" s="1">
        <v>3</v>
      </c>
      <c r="K888" s="1">
        <v>3</v>
      </c>
      <c r="M888" s="4">
        <v>1973</v>
      </c>
      <c r="N888" s="1">
        <v>2546</v>
      </c>
      <c r="O888" s="1">
        <v>5960</v>
      </c>
      <c r="P888" s="1">
        <v>3414</v>
      </c>
      <c r="Q888" s="1" t="s">
        <v>42</v>
      </c>
      <c r="S888" s="1" t="s">
        <v>42</v>
      </c>
      <c r="T888" s="1" t="s">
        <v>153</v>
      </c>
      <c r="U888" s="1">
        <v>175</v>
      </c>
      <c r="V888" s="5">
        <v>43696</v>
      </c>
      <c r="W888" s="5">
        <v>43356</v>
      </c>
      <c r="X888" s="1">
        <v>3385000</v>
      </c>
      <c r="Y888" s="1">
        <v>3000000</v>
      </c>
      <c r="Z888" s="5">
        <v>43531</v>
      </c>
      <c r="AA888" s="1">
        <v>2900000</v>
      </c>
      <c r="AB888" s="1" t="s">
        <v>742</v>
      </c>
      <c r="AC888" s="5">
        <v>43633</v>
      </c>
      <c r="AF888" s="1">
        <v>10013</v>
      </c>
      <c r="AI888" s="1" t="s">
        <v>55</v>
      </c>
      <c r="AJ888" s="1">
        <v>2014</v>
      </c>
      <c r="AK888" s="1" t="s">
        <v>46</v>
      </c>
      <c r="AL888" s="1">
        <v>66</v>
      </c>
    </row>
    <row r="889" spans="1:38" x14ac:dyDescent="0.2">
      <c r="A889" s="2" t="str">
        <f>HYPERLINK("https://www.compass.com/listing/101-leonard-street-unit-9e-manhattan-ny-10013/70915969970638225/","101 Leonard St, Unit 9E")</f>
        <v>101 Leonard St, Unit 9E</v>
      </c>
      <c r="B889" s="2" t="str">
        <f t="shared" si="126"/>
        <v>The Leonard</v>
      </c>
      <c r="C889" s="1" t="s">
        <v>65</v>
      </c>
      <c r="D889" s="1" t="s">
        <v>41</v>
      </c>
      <c r="E889" s="3">
        <v>3250000</v>
      </c>
      <c r="F889" s="1">
        <v>1647.2377090724699</v>
      </c>
      <c r="G889" s="1">
        <v>5</v>
      </c>
      <c r="H889" s="1">
        <v>3</v>
      </c>
      <c r="I889" s="1">
        <v>3</v>
      </c>
      <c r="J889" s="1">
        <v>3</v>
      </c>
      <c r="M889" s="4">
        <v>1973</v>
      </c>
      <c r="N889" s="1">
        <v>2241</v>
      </c>
      <c r="O889" s="1">
        <v>5591</v>
      </c>
      <c r="P889" s="1">
        <v>3350</v>
      </c>
      <c r="Q889" s="1" t="s">
        <v>42</v>
      </c>
      <c r="S889" s="1" t="s">
        <v>42</v>
      </c>
      <c r="T889" s="1" t="s">
        <v>153</v>
      </c>
      <c r="U889" s="1">
        <v>22</v>
      </c>
      <c r="V889" s="5">
        <v>43650</v>
      </c>
      <c r="W889" s="5">
        <v>42914</v>
      </c>
      <c r="X889" s="1">
        <v>3395000</v>
      </c>
      <c r="Y889" s="1">
        <v>3395000</v>
      </c>
      <c r="Z889" s="5">
        <v>42936</v>
      </c>
      <c r="AA889" s="1">
        <v>3250000</v>
      </c>
      <c r="AB889" s="1" t="s">
        <v>743</v>
      </c>
      <c r="AC889" s="5">
        <v>42992</v>
      </c>
      <c r="AF889" s="1">
        <v>10013</v>
      </c>
      <c r="AI889" s="1" t="s">
        <v>55</v>
      </c>
      <c r="AJ889" s="1">
        <v>2014</v>
      </c>
      <c r="AK889" s="1" t="s">
        <v>49</v>
      </c>
      <c r="AL889" s="1">
        <v>66</v>
      </c>
    </row>
    <row r="890" spans="1:38" x14ac:dyDescent="0.2">
      <c r="A890" s="2" t="str">
        <f>HYPERLINK("https://www.compass.com/listing/71-laight-street-unit-3c-manhattan-ny-10013/70926897793506417/","71 Laight St, Unit 3C")</f>
        <v>71 Laight St, Unit 3C</v>
      </c>
      <c r="B890" s="2" t="str">
        <f t="shared" ref="B890:B891" si="127">HYPERLINK("https://www.compass.com/building/the-sterling-mason-manhattan-ny/281919618778432805/","The Sterling Mason")</f>
        <v>The Sterling Mason</v>
      </c>
      <c r="C890" s="1" t="s">
        <v>65</v>
      </c>
      <c r="D890" s="1" t="s">
        <v>41</v>
      </c>
      <c r="E890" s="3">
        <v>9650000</v>
      </c>
      <c r="F890" s="1">
        <v>2602.4811218985901</v>
      </c>
      <c r="G890" s="1">
        <v>14</v>
      </c>
      <c r="H890" s="1">
        <v>5</v>
      </c>
      <c r="I890" s="1">
        <v>6</v>
      </c>
      <c r="J890" s="1">
        <v>0.5</v>
      </c>
      <c r="L890" s="1">
        <v>1</v>
      </c>
      <c r="M890" s="4">
        <v>3708</v>
      </c>
      <c r="N890" s="1">
        <v>5931</v>
      </c>
      <c r="O890" s="1">
        <v>9304</v>
      </c>
      <c r="P890" s="1">
        <v>3373</v>
      </c>
      <c r="Q890" s="1" t="s">
        <v>42</v>
      </c>
      <c r="S890" s="1" t="s">
        <v>42</v>
      </c>
      <c r="T890" s="1" t="s">
        <v>153</v>
      </c>
      <c r="V890" s="5">
        <v>43022</v>
      </c>
      <c r="W890" s="5">
        <v>42381</v>
      </c>
      <c r="X890" s="1">
        <v>9650000</v>
      </c>
      <c r="AB890" s="1" t="s">
        <v>177</v>
      </c>
      <c r="AF890" s="1">
        <v>10013</v>
      </c>
      <c r="AI890" s="1" t="s">
        <v>92</v>
      </c>
      <c r="AJ890" s="1">
        <v>2015</v>
      </c>
      <c r="AK890" s="1" t="s">
        <v>46</v>
      </c>
      <c r="AL890" s="1">
        <v>33</v>
      </c>
    </row>
    <row r="891" spans="1:38" x14ac:dyDescent="0.2">
      <c r="A891" s="2" t="str">
        <f>HYPERLINK("https://www.compass.com/listing/71-laight-street-unit-3c-manhattan-ny-10013/29359347364586881/","71 Laight St, Unit 3C")</f>
        <v>71 Laight St, Unit 3C</v>
      </c>
      <c r="B891" s="2" t="str">
        <f t="shared" si="127"/>
        <v>The Sterling Mason</v>
      </c>
      <c r="C891" s="1" t="s">
        <v>65</v>
      </c>
      <c r="D891" s="1" t="s">
        <v>41</v>
      </c>
      <c r="E891" s="3">
        <v>9268825</v>
      </c>
      <c r="F891" s="1">
        <v>2499.6831175836001</v>
      </c>
      <c r="G891" s="1">
        <v>7</v>
      </c>
      <c r="H891" s="1">
        <v>5</v>
      </c>
      <c r="I891" s="1">
        <v>6</v>
      </c>
      <c r="J891" s="1">
        <v>5.5</v>
      </c>
      <c r="M891" s="4">
        <v>3708</v>
      </c>
      <c r="N891" s="1">
        <v>5931</v>
      </c>
      <c r="O891" s="1">
        <v>9305</v>
      </c>
      <c r="P891" s="1">
        <v>3374</v>
      </c>
      <c r="Q891" s="1" t="s">
        <v>42</v>
      </c>
      <c r="S891" s="1" t="s">
        <v>42</v>
      </c>
      <c r="T891" s="1" t="s">
        <v>153</v>
      </c>
      <c r="U891" s="1">
        <v>99</v>
      </c>
      <c r="V891" s="5">
        <v>43666</v>
      </c>
      <c r="W891" s="5">
        <v>42382</v>
      </c>
      <c r="X891" s="1">
        <v>9650000</v>
      </c>
      <c r="Y891" s="1">
        <v>9650000</v>
      </c>
      <c r="Z891" s="5">
        <v>42481</v>
      </c>
      <c r="AA891" s="1">
        <v>9268825</v>
      </c>
      <c r="AB891" s="1" t="s">
        <v>744</v>
      </c>
      <c r="AC891" s="5">
        <v>42563</v>
      </c>
      <c r="AF891" s="1">
        <v>10013</v>
      </c>
      <c r="AI891" s="1" t="s">
        <v>180</v>
      </c>
      <c r="AJ891" s="1">
        <v>2015</v>
      </c>
      <c r="AK891" s="1" t="s">
        <v>49</v>
      </c>
      <c r="AL891" s="1">
        <v>33</v>
      </c>
    </row>
    <row r="892" spans="1:38" x14ac:dyDescent="0.2">
      <c r="A892" s="2" t="str">
        <f>HYPERLINK("https://www.compass.com/listing/15-hubert-street-unit-phb-manhattan-ny-10013/29509661623323537/","15 Hubert St, Unit PHB")</f>
        <v>15 Hubert St, Unit PHB</v>
      </c>
      <c r="B892" s="2" t="str">
        <f>HYPERLINK("https://www.compass.com/building/15-hubert-st-manhattan-ny-10013/281929572709086677/","15 Hubert St")</f>
        <v>15 Hubert St</v>
      </c>
      <c r="C892" s="1" t="s">
        <v>65</v>
      </c>
      <c r="D892" s="1" t="s">
        <v>41</v>
      </c>
      <c r="E892" s="3">
        <v>6250000</v>
      </c>
      <c r="F892" s="1">
        <v>2171.6469770673998</v>
      </c>
      <c r="G892" s="1">
        <v>6</v>
      </c>
      <c r="H892" s="1">
        <v>2</v>
      </c>
      <c r="I892" s="1">
        <v>4</v>
      </c>
      <c r="J892" s="1">
        <v>3.5</v>
      </c>
      <c r="M892" s="4">
        <v>2878</v>
      </c>
      <c r="N892" s="1">
        <v>2932</v>
      </c>
      <c r="O892" s="1">
        <v>5016</v>
      </c>
      <c r="P892" s="1">
        <v>2084</v>
      </c>
      <c r="Q892" s="1" t="s">
        <v>42</v>
      </c>
      <c r="S892" s="1" t="s">
        <v>42</v>
      </c>
      <c r="T892" s="1" t="s">
        <v>153</v>
      </c>
      <c r="V892" s="5">
        <v>43642</v>
      </c>
      <c r="W892" s="5">
        <v>43267</v>
      </c>
      <c r="X892" s="1">
        <v>6250000</v>
      </c>
      <c r="Y892" s="1">
        <v>6250000</v>
      </c>
      <c r="Z892" s="5">
        <v>43267</v>
      </c>
      <c r="AA892" s="1">
        <v>6250000</v>
      </c>
      <c r="AB892" s="1" t="s">
        <v>177</v>
      </c>
      <c r="AC892" s="5">
        <v>43308</v>
      </c>
      <c r="AF892" s="1">
        <v>10013</v>
      </c>
      <c r="AI892" s="1" t="s">
        <v>142</v>
      </c>
      <c r="AJ892" s="1">
        <v>1867</v>
      </c>
      <c r="AK892" s="1" t="s">
        <v>64</v>
      </c>
      <c r="AL892" s="1">
        <v>13</v>
      </c>
    </row>
    <row r="893" spans="1:38" x14ac:dyDescent="0.2">
      <c r="A893" s="2" t="str">
        <f>HYPERLINK("https://www.compass.com/listing/101-leonard-street-unit-11b-manhattan-ny-10013/538306171816774297/","101 Leonard St, Unit 11B")</f>
        <v>101 Leonard St, Unit 11B</v>
      </c>
      <c r="B893" s="2" t="str">
        <f>HYPERLINK("https://www.compass.com/building/the-leonard-manhattan-ny/281919139939910965/","The Leonard")</f>
        <v>The Leonard</v>
      </c>
      <c r="C893" s="1" t="s">
        <v>65</v>
      </c>
      <c r="D893" s="1" t="s">
        <v>41</v>
      </c>
      <c r="E893" s="3">
        <v>2550000</v>
      </c>
      <c r="F893" s="1">
        <v>1404.9586776859501</v>
      </c>
      <c r="G893" s="1">
        <v>6</v>
      </c>
      <c r="H893" s="1">
        <v>3</v>
      </c>
      <c r="I893" s="1">
        <v>4</v>
      </c>
      <c r="J893" s="1">
        <v>3.5</v>
      </c>
      <c r="K893" s="1">
        <v>3</v>
      </c>
      <c r="L893" s="1">
        <v>1</v>
      </c>
      <c r="M893" s="4">
        <v>1815</v>
      </c>
      <c r="N893" s="1">
        <v>2475</v>
      </c>
      <c r="O893" s="1">
        <v>5838</v>
      </c>
      <c r="P893" s="1">
        <v>3363</v>
      </c>
      <c r="Q893" s="1" t="s">
        <v>42</v>
      </c>
      <c r="S893" s="1" t="s">
        <v>42</v>
      </c>
      <c r="T893" s="1" t="s">
        <v>153</v>
      </c>
      <c r="U893" s="1">
        <v>141</v>
      </c>
      <c r="V893" s="5">
        <v>44195</v>
      </c>
      <c r="W893" s="5">
        <v>43993</v>
      </c>
      <c r="X893" s="1">
        <v>3195000</v>
      </c>
      <c r="Y893" s="1">
        <v>2600000</v>
      </c>
      <c r="Z893" s="5">
        <v>44146</v>
      </c>
      <c r="AA893" s="1">
        <v>2550000</v>
      </c>
      <c r="AB893" s="1" t="s">
        <v>745</v>
      </c>
      <c r="AC893" s="5">
        <v>44188</v>
      </c>
      <c r="AF893" s="1">
        <v>10013</v>
      </c>
      <c r="AI893" s="1" t="s">
        <v>55</v>
      </c>
      <c r="AJ893" s="1">
        <v>2014</v>
      </c>
      <c r="AK893" s="1" t="s">
        <v>746</v>
      </c>
      <c r="AL893" s="1">
        <v>66</v>
      </c>
    </row>
    <row r="894" spans="1:38" x14ac:dyDescent="0.2">
      <c r="A894" s="2" t="str">
        <f>HYPERLINK("https://www.compass.com/listing/449-washington-street-unit-3-manhattan-ny-10013/181022866442028897/","449 Washington St, Unit 3")</f>
        <v>449 Washington St, Unit 3</v>
      </c>
      <c r="B894" s="2" t="str">
        <f>HYPERLINK("https://www.compass.com/building/449-washington-street-manhattan-ny/281919898303629445/","449 Washington Street")</f>
        <v>449 Washington Street</v>
      </c>
      <c r="C894" s="1" t="s">
        <v>65</v>
      </c>
      <c r="D894" s="1" t="s">
        <v>41</v>
      </c>
      <c r="E894" s="3">
        <v>3029294</v>
      </c>
      <c r="F894" s="1">
        <v>1819.39579579579</v>
      </c>
      <c r="G894" s="1">
        <v>4</v>
      </c>
      <c r="H894" s="1">
        <v>2</v>
      </c>
      <c r="I894" s="1">
        <v>2</v>
      </c>
      <c r="J894" s="1">
        <v>2</v>
      </c>
      <c r="K894" s="1">
        <v>2</v>
      </c>
      <c r="M894" s="4">
        <v>1665</v>
      </c>
      <c r="N894" s="1">
        <v>1483</v>
      </c>
      <c r="O894" s="1">
        <v>3197</v>
      </c>
      <c r="P894" s="1">
        <v>1714</v>
      </c>
      <c r="Q894" s="1" t="s">
        <v>42</v>
      </c>
      <c r="S894" s="1" t="s">
        <v>42</v>
      </c>
      <c r="T894" s="1" t="s">
        <v>153</v>
      </c>
      <c r="U894" s="1">
        <v>343</v>
      </c>
      <c r="V894" s="5">
        <v>43655</v>
      </c>
      <c r="W894" s="5">
        <v>41451</v>
      </c>
      <c r="X894" s="1">
        <v>3000000</v>
      </c>
      <c r="Y894" s="1">
        <v>3000000</v>
      </c>
      <c r="Z894" s="5">
        <v>41794</v>
      </c>
      <c r="AA894" s="1">
        <v>3029294</v>
      </c>
      <c r="AB894" s="1" t="s">
        <v>747</v>
      </c>
      <c r="AC894" s="5">
        <v>42042</v>
      </c>
      <c r="AF894" s="1">
        <v>10013</v>
      </c>
      <c r="AI894" s="1" t="s">
        <v>110</v>
      </c>
      <c r="AJ894" s="1">
        <v>1920</v>
      </c>
      <c r="AK894" s="1" t="s">
        <v>64</v>
      </c>
      <c r="AL894" s="1">
        <v>4</v>
      </c>
    </row>
    <row r="895" spans="1:38" x14ac:dyDescent="0.2">
      <c r="A895" s="2" t="str">
        <f>HYPERLINK("https://www.compass.com/listing/101-leonard-street-unit-4d-manhattan-ny-10013/29513607288980161/","101 Leonard St, Unit 4D")</f>
        <v>101 Leonard St, Unit 4D</v>
      </c>
      <c r="B895" s="2" t="str">
        <f>HYPERLINK("https://www.compass.com/building/the-leonard-manhattan-ny/281919139939910965/","The Leonard")</f>
        <v>The Leonard</v>
      </c>
      <c r="C895" s="1" t="s">
        <v>65</v>
      </c>
      <c r="D895" s="1" t="s">
        <v>41</v>
      </c>
      <c r="E895" s="3">
        <v>2515000</v>
      </c>
      <c r="F895" s="1">
        <v>1665.5629139072801</v>
      </c>
      <c r="G895" s="1">
        <v>5</v>
      </c>
      <c r="H895" s="1">
        <v>2</v>
      </c>
      <c r="I895" s="1">
        <v>2</v>
      </c>
      <c r="J895" s="1">
        <v>2</v>
      </c>
      <c r="M895" s="4">
        <v>1510</v>
      </c>
      <c r="N895" s="1">
        <v>1762</v>
      </c>
      <c r="O895" s="1">
        <v>3841</v>
      </c>
      <c r="P895" s="1">
        <v>2079</v>
      </c>
      <c r="Q895" s="1" t="s">
        <v>42</v>
      </c>
      <c r="S895" s="1" t="s">
        <v>42</v>
      </c>
      <c r="T895" s="1" t="s">
        <v>153</v>
      </c>
      <c r="U895" s="1">
        <v>288</v>
      </c>
      <c r="V895" s="5">
        <v>43623</v>
      </c>
      <c r="W895" s="5">
        <v>43102</v>
      </c>
      <c r="X895" s="1">
        <v>2750000</v>
      </c>
      <c r="Y895" s="1">
        <v>2580000</v>
      </c>
      <c r="Z895" s="5">
        <v>43411</v>
      </c>
      <c r="AA895" s="1">
        <v>2515000</v>
      </c>
      <c r="AB895" s="1" t="s">
        <v>748</v>
      </c>
      <c r="AC895" s="5">
        <v>43424</v>
      </c>
      <c r="AF895" s="1">
        <v>10013</v>
      </c>
      <c r="AI895" s="1" t="s">
        <v>55</v>
      </c>
      <c r="AJ895" s="1">
        <v>2014</v>
      </c>
      <c r="AK895" s="1" t="s">
        <v>49</v>
      </c>
      <c r="AL895" s="1">
        <v>66</v>
      </c>
    </row>
    <row r="896" spans="1:38" x14ac:dyDescent="0.2">
      <c r="A896" s="2" t="str">
        <f>HYPERLINK("https://www.compass.com/listing/21-east-61st-street-unit-16b-manhattan-ny-10065/815786782464590321/","21 E 61st St, Unit 16B")</f>
        <v>21 E 61st St, Unit 16B</v>
      </c>
      <c r="B896" s="2" t="str">
        <f>HYPERLINK("https://www.compass.com/building/the-carlton-house-manhattan-ny/292926373863910149/","The Carlton House")</f>
        <v>The Carlton House</v>
      </c>
      <c r="C896" s="1" t="s">
        <v>98</v>
      </c>
      <c r="D896" s="1" t="s">
        <v>41</v>
      </c>
      <c r="E896" s="3">
        <v>15500000</v>
      </c>
      <c r="F896" s="1">
        <v>4327.1915131211599</v>
      </c>
      <c r="G896" s="1">
        <v>7.5</v>
      </c>
      <c r="H896" s="1">
        <v>3</v>
      </c>
      <c r="I896" s="1">
        <v>4</v>
      </c>
      <c r="J896" s="1">
        <v>3.5</v>
      </c>
      <c r="K896" s="1">
        <v>3</v>
      </c>
      <c r="L896" s="1">
        <v>1</v>
      </c>
      <c r="M896" s="4">
        <v>3582</v>
      </c>
      <c r="N896" s="1">
        <v>14597</v>
      </c>
      <c r="O896" s="1">
        <v>14598</v>
      </c>
      <c r="P896" s="1">
        <v>1</v>
      </c>
      <c r="Q896" s="1" t="s">
        <v>104</v>
      </c>
      <c r="S896" s="1" t="s">
        <v>104</v>
      </c>
      <c r="T896" s="1" t="s">
        <v>153</v>
      </c>
      <c r="V896" s="5">
        <v>44387</v>
      </c>
      <c r="W896" s="5">
        <v>44377</v>
      </c>
      <c r="X896" s="1">
        <v>15500000</v>
      </c>
      <c r="Y896" s="1">
        <v>15500000</v>
      </c>
      <c r="Z896" s="5">
        <v>44378</v>
      </c>
      <c r="AA896" s="1">
        <v>15500000</v>
      </c>
      <c r="AB896" s="1" t="s">
        <v>177</v>
      </c>
      <c r="AC896" s="5">
        <v>44385</v>
      </c>
      <c r="AF896" s="1">
        <v>10065</v>
      </c>
      <c r="AI896" s="1" t="s">
        <v>749</v>
      </c>
      <c r="AJ896" s="1">
        <v>1951</v>
      </c>
      <c r="AK896" s="1" t="s">
        <v>49</v>
      </c>
      <c r="AL896" s="1">
        <v>68</v>
      </c>
    </row>
    <row r="897" spans="1:38" x14ac:dyDescent="0.2">
      <c r="A897" s="2" t="str">
        <f>HYPERLINK("https://www.compass.com/listing/71-laight-street-unit-3f-manhattan-ny-10013/23954391077809697/","71 Laight St, Unit 3F")</f>
        <v>71 Laight St, Unit 3F</v>
      </c>
      <c r="B897" s="2" t="str">
        <f t="shared" ref="B897:B899" si="128">HYPERLINK("https://www.compass.com/building/the-sterling-mason-manhattan-ny/281919618778432805/","The Sterling Mason")</f>
        <v>The Sterling Mason</v>
      </c>
      <c r="C897" s="1" t="s">
        <v>65</v>
      </c>
      <c r="D897" s="1" t="s">
        <v>41</v>
      </c>
      <c r="E897" s="3">
        <v>5425000</v>
      </c>
      <c r="F897" s="1">
        <v>2251.9717725197102</v>
      </c>
      <c r="G897" s="1">
        <v>7</v>
      </c>
      <c r="H897" s="1">
        <v>3</v>
      </c>
      <c r="I897" s="1">
        <v>3</v>
      </c>
      <c r="J897" s="1">
        <v>3.5</v>
      </c>
      <c r="K897" s="1">
        <v>3</v>
      </c>
      <c r="L897" s="1">
        <v>1</v>
      </c>
      <c r="M897" s="4">
        <v>2409</v>
      </c>
      <c r="N897" s="1">
        <v>3911</v>
      </c>
      <c r="O897" s="1">
        <v>6123.75</v>
      </c>
      <c r="P897" s="1">
        <v>2212.75</v>
      </c>
      <c r="Q897" s="1" t="s">
        <v>42</v>
      </c>
      <c r="S897" s="1" t="s">
        <v>42</v>
      </c>
      <c r="T897" s="1" t="s">
        <v>153</v>
      </c>
      <c r="U897" s="1">
        <v>222</v>
      </c>
      <c r="V897" s="5">
        <v>44209</v>
      </c>
      <c r="W897" s="5">
        <v>42979</v>
      </c>
      <c r="X897" s="1">
        <v>6395000</v>
      </c>
      <c r="Y897" s="1">
        <v>5980000</v>
      </c>
      <c r="Z897" s="5">
        <v>43201</v>
      </c>
      <c r="AA897" s="1">
        <v>5425000</v>
      </c>
      <c r="AB897" s="1" t="s">
        <v>177</v>
      </c>
      <c r="AC897" s="5">
        <v>43258</v>
      </c>
      <c r="AF897" s="1">
        <v>10013</v>
      </c>
      <c r="AI897" s="1" t="s">
        <v>750</v>
      </c>
      <c r="AJ897" s="1">
        <v>2015</v>
      </c>
      <c r="AK897" s="1" t="s">
        <v>46</v>
      </c>
      <c r="AL897" s="1">
        <v>33</v>
      </c>
    </row>
    <row r="898" spans="1:38" x14ac:dyDescent="0.2">
      <c r="A898" s="2" t="str">
        <f>HYPERLINK("https://www.compass.com/listing/71-laight-street-unit-4a-manhattan-ny-10013/29359348153079201/","71 Laight St, Unit 4A")</f>
        <v>71 Laight St, Unit 4A</v>
      </c>
      <c r="B898" s="2" t="str">
        <f t="shared" si="128"/>
        <v>The Sterling Mason</v>
      </c>
      <c r="C898" s="1" t="s">
        <v>65</v>
      </c>
      <c r="D898" s="1" t="s">
        <v>41</v>
      </c>
      <c r="E898" s="3">
        <v>3900000</v>
      </c>
      <c r="F898" s="1">
        <v>1909.89226248775</v>
      </c>
      <c r="G898" s="1">
        <v>7</v>
      </c>
      <c r="H898" s="1">
        <v>2</v>
      </c>
      <c r="I898" s="1">
        <v>3</v>
      </c>
      <c r="J898" s="1">
        <v>2.5</v>
      </c>
      <c r="M898" s="4">
        <v>2042</v>
      </c>
      <c r="N898" s="1">
        <v>3283</v>
      </c>
      <c r="O898" s="1">
        <v>4540</v>
      </c>
      <c r="P898" s="1">
        <v>1257</v>
      </c>
      <c r="Q898" s="1" t="s">
        <v>42</v>
      </c>
      <c r="S898" s="1" t="s">
        <v>42</v>
      </c>
      <c r="T898" s="1" t="s">
        <v>153</v>
      </c>
      <c r="V898" s="5">
        <v>44209</v>
      </c>
      <c r="W898" s="5">
        <v>41976</v>
      </c>
      <c r="X898" s="1">
        <v>3995000</v>
      </c>
      <c r="Y898" s="1">
        <v>3995000</v>
      </c>
      <c r="Z898" s="5">
        <v>41976</v>
      </c>
      <c r="AA898" s="1">
        <v>3900000</v>
      </c>
      <c r="AB898" s="1" t="s">
        <v>751</v>
      </c>
      <c r="AC898" s="5">
        <v>42275</v>
      </c>
      <c r="AF898" s="1">
        <v>10013</v>
      </c>
      <c r="AI898" s="1" t="s">
        <v>66</v>
      </c>
      <c r="AJ898" s="1">
        <v>2015</v>
      </c>
      <c r="AK898" s="1" t="s">
        <v>49</v>
      </c>
      <c r="AL898" s="1">
        <v>33</v>
      </c>
    </row>
    <row r="899" spans="1:38" x14ac:dyDescent="0.2">
      <c r="A899" s="2" t="str">
        <f>HYPERLINK("https://www.compass.com/listing/71-laight-street-unit-1b-manhattan-ny-10013/29359344873165921/","71 Laight St, Unit 1B")</f>
        <v>71 Laight St, Unit 1B</v>
      </c>
      <c r="B899" s="2" t="str">
        <f t="shared" si="128"/>
        <v>The Sterling Mason</v>
      </c>
      <c r="C899" s="1" t="s">
        <v>65</v>
      </c>
      <c r="D899" s="1" t="s">
        <v>41</v>
      </c>
      <c r="E899" s="3">
        <v>5345813</v>
      </c>
      <c r="F899" s="1">
        <v>2152.09863123993</v>
      </c>
      <c r="G899" s="1">
        <v>9</v>
      </c>
      <c r="H899" s="1">
        <v>3</v>
      </c>
      <c r="I899" s="1">
        <v>4</v>
      </c>
      <c r="J899" s="1">
        <v>3.5</v>
      </c>
      <c r="M899" s="4">
        <v>2484</v>
      </c>
      <c r="N899" s="1">
        <v>4083</v>
      </c>
      <c r="O899" s="1">
        <v>5666</v>
      </c>
      <c r="P899" s="1">
        <v>1583</v>
      </c>
      <c r="Q899" s="1" t="s">
        <v>42</v>
      </c>
      <c r="S899" s="1" t="s">
        <v>42</v>
      </c>
      <c r="T899" s="1" t="s">
        <v>153</v>
      </c>
      <c r="V899" s="5">
        <v>44209</v>
      </c>
      <c r="W899" s="5">
        <v>41976</v>
      </c>
      <c r="X899" s="1">
        <v>5250000</v>
      </c>
      <c r="Y899" s="1">
        <v>5250000</v>
      </c>
      <c r="Z899" s="5">
        <v>41976</v>
      </c>
      <c r="AA899" s="1">
        <v>5345813</v>
      </c>
      <c r="AB899" s="1" t="s">
        <v>752</v>
      </c>
      <c r="AC899" s="5">
        <v>42384</v>
      </c>
      <c r="AF899" s="1">
        <v>10013</v>
      </c>
      <c r="AI899" s="1" t="s">
        <v>75</v>
      </c>
      <c r="AJ899" s="1">
        <v>2015</v>
      </c>
      <c r="AK899" s="1" t="s">
        <v>49</v>
      </c>
      <c r="AL899" s="1">
        <v>33</v>
      </c>
    </row>
    <row r="900" spans="1:38" x14ac:dyDescent="0.2">
      <c r="A900" s="2" t="str">
        <f>HYPERLINK("https://www.compass.com/listing/101-leonard-street-unit-11d-manhattan-ny-10013/29358433811597329/","101 Leonard St, Unit 11D")</f>
        <v>101 Leonard St, Unit 11D</v>
      </c>
      <c r="B900" s="2" t="str">
        <f>HYPERLINK("https://www.compass.com/building/the-leonard-manhattan-ny/281919139939910965/","The Leonard")</f>
        <v>The Leonard</v>
      </c>
      <c r="C900" s="1" t="s">
        <v>65</v>
      </c>
      <c r="D900" s="1" t="s">
        <v>41</v>
      </c>
      <c r="E900" s="3">
        <v>2600000</v>
      </c>
      <c r="F900" s="1">
        <v>1721.8543046357599</v>
      </c>
      <c r="G900" s="1">
        <v>5</v>
      </c>
      <c r="H900" s="1">
        <v>2</v>
      </c>
      <c r="I900" s="1">
        <v>2</v>
      </c>
      <c r="J900" s="1">
        <v>2</v>
      </c>
      <c r="K900" s="1">
        <v>2</v>
      </c>
      <c r="M900" s="4">
        <v>1510</v>
      </c>
      <c r="N900" s="1">
        <v>1728</v>
      </c>
      <c r="O900" s="1">
        <v>4008</v>
      </c>
      <c r="P900" s="1">
        <v>2280</v>
      </c>
      <c r="Q900" s="1" t="s">
        <v>42</v>
      </c>
      <c r="S900" s="1" t="s">
        <v>42</v>
      </c>
      <c r="T900" s="1" t="s">
        <v>153</v>
      </c>
      <c r="U900" s="1">
        <v>1</v>
      </c>
      <c r="V900" s="5">
        <v>43630</v>
      </c>
      <c r="W900" s="5">
        <v>42634</v>
      </c>
      <c r="X900" s="1">
        <v>2700000</v>
      </c>
      <c r="Y900" s="1">
        <v>2700000</v>
      </c>
      <c r="Z900" s="5">
        <v>42635</v>
      </c>
      <c r="AA900" s="1">
        <v>2600000</v>
      </c>
      <c r="AB900" s="1" t="s">
        <v>753</v>
      </c>
      <c r="AC900" s="5">
        <v>42642</v>
      </c>
      <c r="AF900" s="1">
        <v>10013</v>
      </c>
      <c r="AI900" s="1" t="s">
        <v>87</v>
      </c>
      <c r="AJ900" s="1">
        <v>2014</v>
      </c>
      <c r="AK900" s="1" t="s">
        <v>746</v>
      </c>
      <c r="AL900" s="1">
        <v>66</v>
      </c>
    </row>
    <row r="901" spans="1:38" x14ac:dyDescent="0.2">
      <c r="A901" s="2" t="str">
        <f>HYPERLINK("https://www.compass.com/listing/71-laight-street-unit-2f-manhattan-ny-10013/29510300449402769/","71 Laight St, Unit 2F")</f>
        <v>71 Laight St, Unit 2F</v>
      </c>
      <c r="B901" s="2" t="str">
        <f t="shared" ref="B901:B902" si="129">HYPERLINK("https://www.compass.com/building/the-sterling-mason-manhattan-ny/281919618778432805/","The Sterling Mason")</f>
        <v>The Sterling Mason</v>
      </c>
      <c r="C901" s="1" t="s">
        <v>65</v>
      </c>
      <c r="D901" s="1" t="s">
        <v>41</v>
      </c>
      <c r="E901" s="3">
        <v>5200000</v>
      </c>
      <c r="F901" s="1">
        <v>2158.57202158572</v>
      </c>
      <c r="G901" s="1">
        <v>7</v>
      </c>
      <c r="H901" s="1">
        <v>3</v>
      </c>
      <c r="I901" s="1">
        <v>4</v>
      </c>
      <c r="J901" s="1">
        <v>3.5</v>
      </c>
      <c r="M901" s="4">
        <v>2409</v>
      </c>
      <c r="N901" s="1">
        <v>3834</v>
      </c>
      <c r="O901" s="1">
        <v>5302</v>
      </c>
      <c r="P901" s="1">
        <v>1468</v>
      </c>
      <c r="Q901" s="1" t="s">
        <v>42</v>
      </c>
      <c r="S901" s="1" t="s">
        <v>42</v>
      </c>
      <c r="T901" s="1" t="s">
        <v>153</v>
      </c>
      <c r="V901" s="5">
        <v>44209</v>
      </c>
      <c r="W901" s="5">
        <v>41975</v>
      </c>
      <c r="X901" s="1">
        <v>5200000</v>
      </c>
      <c r="Y901" s="1">
        <v>5200000</v>
      </c>
      <c r="Z901" s="5">
        <v>41975</v>
      </c>
      <c r="AA901" s="1">
        <v>5200000</v>
      </c>
      <c r="AB901" s="1" t="s">
        <v>754</v>
      </c>
      <c r="AC901" s="5">
        <v>42185</v>
      </c>
      <c r="AF901" s="1">
        <v>10013</v>
      </c>
      <c r="AI901" s="1" t="s">
        <v>180</v>
      </c>
      <c r="AJ901" s="1">
        <v>2015</v>
      </c>
      <c r="AK901" s="1" t="s">
        <v>49</v>
      </c>
      <c r="AL901" s="1">
        <v>33</v>
      </c>
    </row>
    <row r="902" spans="1:38" x14ac:dyDescent="0.2">
      <c r="A902" s="2" t="str">
        <f>HYPERLINK("https://www.compass.com/listing/71-laight-street-unit-3e-manhattan-ny-10013/4852322897013774881/","71 Laight St, Unit 3E")</f>
        <v>71 Laight St, Unit 3E</v>
      </c>
      <c r="B902" s="2" t="str">
        <f t="shared" si="129"/>
        <v>The Sterling Mason</v>
      </c>
      <c r="C902" s="1" t="s">
        <v>65</v>
      </c>
      <c r="D902" s="1" t="s">
        <v>41</v>
      </c>
      <c r="E902" s="3">
        <v>5650000</v>
      </c>
      <c r="F902" s="1">
        <v>2486.7957746478801</v>
      </c>
      <c r="G902" s="1">
        <v>9</v>
      </c>
      <c r="H902" s="1">
        <v>3</v>
      </c>
      <c r="I902" s="1">
        <v>4</v>
      </c>
      <c r="J902" s="1">
        <v>3.5</v>
      </c>
      <c r="M902" s="4">
        <v>2272</v>
      </c>
      <c r="N902" s="1">
        <v>3634</v>
      </c>
      <c r="O902" s="1">
        <v>5025</v>
      </c>
      <c r="P902" s="1">
        <v>1391</v>
      </c>
      <c r="Q902" s="1" t="s">
        <v>42</v>
      </c>
      <c r="S902" s="1" t="s">
        <v>42</v>
      </c>
      <c r="T902" s="1" t="s">
        <v>153</v>
      </c>
      <c r="V902" s="5">
        <v>44209</v>
      </c>
      <c r="W902" s="5">
        <v>41976</v>
      </c>
      <c r="X902" s="1">
        <v>5800000</v>
      </c>
      <c r="Y902" s="1">
        <v>5800000</v>
      </c>
      <c r="Z902" s="5">
        <v>41976</v>
      </c>
      <c r="AA902" s="1">
        <v>5650000</v>
      </c>
      <c r="AB902" s="1" t="s">
        <v>177</v>
      </c>
      <c r="AC902" s="5">
        <v>42187</v>
      </c>
      <c r="AF902" s="1">
        <v>10013</v>
      </c>
      <c r="AI902" s="1" t="s">
        <v>66</v>
      </c>
      <c r="AJ902" s="1">
        <v>2015</v>
      </c>
      <c r="AK902" s="1" t="s">
        <v>49</v>
      </c>
      <c r="AL902" s="1">
        <v>33</v>
      </c>
    </row>
    <row r="903" spans="1:38" x14ac:dyDescent="0.2">
      <c r="A903" s="2" t="str">
        <f>HYPERLINK("https://www.compass.com/listing/101-leonard-street-unit-10e-manhattan-ny-10013/29358433065007073/","101 Leonard St, Unit 10E")</f>
        <v>101 Leonard St, Unit 10E</v>
      </c>
      <c r="B903" s="2" t="str">
        <f t="shared" ref="B903:B905" si="130">HYPERLINK("https://www.compass.com/building/the-leonard-manhattan-ny/281919139939910965/","The Leonard")</f>
        <v>The Leonard</v>
      </c>
      <c r="C903" s="1" t="s">
        <v>65</v>
      </c>
      <c r="D903" s="1" t="s">
        <v>41</v>
      </c>
      <c r="E903" s="3">
        <v>3266000</v>
      </c>
      <c r="F903" s="1">
        <v>1655.34718702483</v>
      </c>
      <c r="G903" s="1">
        <v>7</v>
      </c>
      <c r="H903" s="1">
        <v>3</v>
      </c>
      <c r="I903" s="1">
        <v>3</v>
      </c>
      <c r="J903" s="1">
        <v>3</v>
      </c>
      <c r="K903" s="1">
        <v>3</v>
      </c>
      <c r="M903" s="4">
        <v>1973</v>
      </c>
      <c r="N903" s="1">
        <v>2120</v>
      </c>
      <c r="O903" s="1">
        <v>5099</v>
      </c>
      <c r="P903" s="1">
        <v>2979</v>
      </c>
      <c r="Q903" s="1" t="s">
        <v>42</v>
      </c>
      <c r="S903" s="1" t="s">
        <v>42</v>
      </c>
      <c r="T903" s="1" t="s">
        <v>153</v>
      </c>
      <c r="U903" s="1">
        <v>321</v>
      </c>
      <c r="V903" s="5">
        <v>43668</v>
      </c>
      <c r="W903" s="5">
        <v>42579</v>
      </c>
      <c r="X903" s="1">
        <v>3600000</v>
      </c>
      <c r="Y903" s="1">
        <v>3300000</v>
      </c>
      <c r="Z903" s="5">
        <v>42900</v>
      </c>
      <c r="AA903" s="1">
        <v>3266000</v>
      </c>
      <c r="AB903" s="1" t="s">
        <v>755</v>
      </c>
      <c r="AC903" s="5">
        <v>42971</v>
      </c>
      <c r="AF903" s="1">
        <v>10013</v>
      </c>
      <c r="AI903" s="1" t="s">
        <v>55</v>
      </c>
      <c r="AJ903" s="1">
        <v>2014</v>
      </c>
      <c r="AK903" s="1" t="s">
        <v>49</v>
      </c>
      <c r="AL903" s="1">
        <v>66</v>
      </c>
    </row>
    <row r="904" spans="1:38" x14ac:dyDescent="0.2">
      <c r="A904" s="2" t="str">
        <f>HYPERLINK("https://www.compass.com/listing/101-leonard-street-unit-3d-manhattan-ny-10013/29358427780188081/","101 Leonard St, Unit 3D")</f>
        <v>101 Leonard St, Unit 3D</v>
      </c>
      <c r="B904" s="2" t="str">
        <f t="shared" si="130"/>
        <v>The Leonard</v>
      </c>
      <c r="C904" s="1" t="s">
        <v>65</v>
      </c>
      <c r="D904" s="1" t="s">
        <v>41</v>
      </c>
      <c r="E904" s="3">
        <v>2925000</v>
      </c>
      <c r="F904" s="1">
        <v>1937.0860927152301</v>
      </c>
      <c r="G904" s="1">
        <v>5</v>
      </c>
      <c r="H904" s="1">
        <v>2</v>
      </c>
      <c r="I904" s="1">
        <v>2</v>
      </c>
      <c r="J904" s="1">
        <v>2</v>
      </c>
      <c r="M904" s="4">
        <v>1510</v>
      </c>
      <c r="N904" s="1">
        <v>1678</v>
      </c>
      <c r="O904" s="1">
        <v>3893</v>
      </c>
      <c r="P904" s="1">
        <v>2215</v>
      </c>
      <c r="Q904" s="1" t="s">
        <v>42</v>
      </c>
      <c r="S904" s="1" t="s">
        <v>42</v>
      </c>
      <c r="T904" s="1" t="s">
        <v>153</v>
      </c>
      <c r="U904" s="1">
        <v>71</v>
      </c>
      <c r="V904" s="5">
        <v>43650</v>
      </c>
      <c r="W904" s="5">
        <v>42319</v>
      </c>
      <c r="X904" s="1">
        <v>3000000</v>
      </c>
      <c r="Y904" s="1">
        <v>3000000</v>
      </c>
      <c r="Z904" s="5">
        <v>42390</v>
      </c>
      <c r="AA904" s="1">
        <v>2925000</v>
      </c>
      <c r="AB904" s="1" t="s">
        <v>756</v>
      </c>
      <c r="AC904" s="5">
        <v>42405</v>
      </c>
      <c r="AF904" s="1">
        <v>10013</v>
      </c>
      <c r="AI904" s="1" t="s">
        <v>757</v>
      </c>
      <c r="AJ904" s="1">
        <v>2014</v>
      </c>
      <c r="AK904" s="1" t="s">
        <v>49</v>
      </c>
      <c r="AL904" s="1">
        <v>66</v>
      </c>
    </row>
    <row r="905" spans="1:38" x14ac:dyDescent="0.2">
      <c r="A905" s="2" t="str">
        <f>HYPERLINK("https://www.compass.com/listing/101-leonard-street-unit-phc-manhattan-ny-10013/4852317153442937745/","101 Leonard St, Unit PHC")</f>
        <v>101 Leonard St, Unit PHC</v>
      </c>
      <c r="B905" s="2" t="str">
        <f t="shared" si="130"/>
        <v>The Leonard</v>
      </c>
      <c r="C905" s="1" t="s">
        <v>65</v>
      </c>
      <c r="D905" s="1" t="s">
        <v>41</v>
      </c>
      <c r="E905" s="3">
        <v>7636875</v>
      </c>
      <c r="F905" s="1">
        <v>2231.04732690622</v>
      </c>
      <c r="G905" s="1">
        <v>7</v>
      </c>
      <c r="H905" s="1">
        <v>4</v>
      </c>
      <c r="I905" s="1">
        <v>5</v>
      </c>
      <c r="J905" s="1">
        <v>4.5</v>
      </c>
      <c r="M905" s="4">
        <v>3423</v>
      </c>
      <c r="N905" s="1">
        <v>4291</v>
      </c>
      <c r="O905" s="1">
        <v>8554</v>
      </c>
      <c r="P905" s="1">
        <v>4263</v>
      </c>
      <c r="Q905" s="1" t="s">
        <v>42</v>
      </c>
      <c r="S905" s="1" t="s">
        <v>42</v>
      </c>
      <c r="T905" s="1" t="s">
        <v>153</v>
      </c>
      <c r="U905" s="1">
        <v>35</v>
      </c>
      <c r="V905" s="5">
        <v>43654</v>
      </c>
      <c r="W905" s="5">
        <v>41615</v>
      </c>
      <c r="X905" s="1">
        <v>7500000</v>
      </c>
      <c r="Y905" s="1">
        <v>7500000</v>
      </c>
      <c r="Z905" s="5">
        <v>41650</v>
      </c>
      <c r="AA905" s="1">
        <v>7636875</v>
      </c>
      <c r="AB905" s="1" t="s">
        <v>758</v>
      </c>
      <c r="AC905" s="5">
        <v>41988</v>
      </c>
      <c r="AF905" s="1">
        <v>10013</v>
      </c>
      <c r="AI905" s="1" t="s">
        <v>759</v>
      </c>
      <c r="AJ905" s="1">
        <v>2014</v>
      </c>
      <c r="AK905" s="1" t="s">
        <v>49</v>
      </c>
      <c r="AL905" s="1">
        <v>66</v>
      </c>
    </row>
    <row r="906" spans="1:38" x14ac:dyDescent="0.2">
      <c r="A906" s="2" t="str">
        <f>HYPERLINK("https://www.compass.com/listing/71-laight-street-unit-3c-manhattan-ny-10013/86722387046827505/","71 Laight St, Unit 3C")</f>
        <v>71 Laight St, Unit 3C</v>
      </c>
      <c r="B906" s="2" t="str">
        <f>HYPERLINK("https://www.compass.com/building/the-sterling-mason-manhattan-ny/281919618778432805/","The Sterling Mason")</f>
        <v>The Sterling Mason</v>
      </c>
      <c r="C906" s="1" t="s">
        <v>65</v>
      </c>
      <c r="D906" s="1" t="s">
        <v>41</v>
      </c>
      <c r="E906" s="3">
        <v>9000000</v>
      </c>
      <c r="F906" s="1">
        <v>2427.1844660194101</v>
      </c>
      <c r="G906" s="1">
        <v>7</v>
      </c>
      <c r="H906" s="1">
        <v>5</v>
      </c>
      <c r="I906" s="1">
        <v>6</v>
      </c>
      <c r="J906" s="1">
        <v>5.5</v>
      </c>
      <c r="K906" s="1">
        <v>5</v>
      </c>
      <c r="L906" s="1">
        <v>1</v>
      </c>
      <c r="M906" s="4">
        <v>3708</v>
      </c>
      <c r="N906" s="1">
        <v>6614</v>
      </c>
      <c r="O906" s="1">
        <v>10844</v>
      </c>
      <c r="P906" s="1">
        <v>4230</v>
      </c>
      <c r="Q906" s="1" t="s">
        <v>42</v>
      </c>
      <c r="S906" s="1" t="s">
        <v>42</v>
      </c>
      <c r="T906" s="1" t="s">
        <v>153</v>
      </c>
      <c r="U906" s="1">
        <v>180</v>
      </c>
      <c r="V906" s="5">
        <v>44209</v>
      </c>
      <c r="W906" s="5">
        <v>43371</v>
      </c>
      <c r="X906" s="1">
        <v>9810000</v>
      </c>
      <c r="Y906" s="1">
        <v>9810000</v>
      </c>
      <c r="Z906" s="5">
        <v>43552</v>
      </c>
      <c r="AA906" s="1">
        <v>9000000</v>
      </c>
      <c r="AB906" s="1" t="s">
        <v>760</v>
      </c>
      <c r="AC906" s="5">
        <v>43599</v>
      </c>
      <c r="AF906" s="1">
        <v>10013</v>
      </c>
      <c r="AI906" s="1" t="s">
        <v>750</v>
      </c>
      <c r="AJ906" s="1">
        <v>2015</v>
      </c>
      <c r="AK906" s="1" t="s">
        <v>46</v>
      </c>
      <c r="AL906" s="1">
        <v>33</v>
      </c>
    </row>
    <row r="907" spans="1:38" x14ac:dyDescent="0.2">
      <c r="A907" s="2" t="str">
        <f>HYPERLINK("https://www.compass.com/listing/449-washington-street-unit-4-manhattan-ny-10013/192569615551915201/","449 Washington St, Unit 4")</f>
        <v>449 Washington St, Unit 4</v>
      </c>
      <c r="B907" s="2" t="str">
        <f>HYPERLINK("https://www.compass.com/building/449-washington-street-manhattan-ny/281919898303629445/","449 Washington Street")</f>
        <v>449 Washington Street</v>
      </c>
      <c r="C907" s="1" t="s">
        <v>65</v>
      </c>
      <c r="D907" s="1" t="s">
        <v>41</v>
      </c>
      <c r="E907" s="3">
        <v>2975000</v>
      </c>
      <c r="F907" s="1">
        <v>1786.7867867867801</v>
      </c>
      <c r="G907" s="1">
        <v>4.5</v>
      </c>
      <c r="H907" s="1">
        <v>2</v>
      </c>
      <c r="I907" s="1">
        <v>2</v>
      </c>
      <c r="J907" s="1">
        <v>2</v>
      </c>
      <c r="K907" s="1">
        <v>2</v>
      </c>
      <c r="M907" s="4">
        <v>1665</v>
      </c>
      <c r="N907" s="1">
        <v>1484</v>
      </c>
      <c r="O907" s="1">
        <v>3199</v>
      </c>
      <c r="P907" s="1">
        <v>1715</v>
      </c>
      <c r="Q907" s="1" t="s">
        <v>42</v>
      </c>
      <c r="S907" s="1" t="s">
        <v>42</v>
      </c>
      <c r="T907" s="1" t="s">
        <v>153</v>
      </c>
      <c r="U907" s="1">
        <v>325</v>
      </c>
      <c r="V907" s="5">
        <v>43655</v>
      </c>
      <c r="W907" s="5">
        <v>41451</v>
      </c>
      <c r="X907" s="1">
        <v>3100000</v>
      </c>
      <c r="Y907" s="1">
        <v>3100000</v>
      </c>
      <c r="Z907" s="5">
        <v>41776</v>
      </c>
      <c r="AA907" s="1">
        <v>2975000</v>
      </c>
      <c r="AB907" s="1" t="s">
        <v>177</v>
      </c>
      <c r="AC907" s="5">
        <v>42042</v>
      </c>
      <c r="AF907" s="1">
        <v>10013</v>
      </c>
      <c r="AI907" s="1" t="s">
        <v>110</v>
      </c>
      <c r="AJ907" s="1">
        <v>1920</v>
      </c>
      <c r="AK907" s="1" t="s">
        <v>64</v>
      </c>
      <c r="AL907" s="1">
        <v>4</v>
      </c>
    </row>
    <row r="908" spans="1:38" x14ac:dyDescent="0.2">
      <c r="A908" s="2" t="str">
        <f>HYPERLINK("https://www.compass.com/listing/101-leonard-street-unit-2e-manhattan-ny-10013/29513607674901009/","101 Leonard St, Unit 2E")</f>
        <v>101 Leonard St, Unit 2E</v>
      </c>
      <c r="B908" s="2" t="str">
        <f>HYPERLINK("https://www.compass.com/building/the-leonard-manhattan-ny/281919139939910965/","The Leonard")</f>
        <v>The Leonard</v>
      </c>
      <c r="C908" s="1" t="s">
        <v>65</v>
      </c>
      <c r="D908" s="1" t="s">
        <v>41</v>
      </c>
      <c r="E908" s="3">
        <v>3225000</v>
      </c>
      <c r="F908" s="1">
        <v>1642.8935303107401</v>
      </c>
      <c r="G908" s="1">
        <v>7</v>
      </c>
      <c r="H908" s="1">
        <v>3</v>
      </c>
      <c r="I908" s="1">
        <v>3</v>
      </c>
      <c r="J908" s="1">
        <v>3</v>
      </c>
      <c r="K908" s="1">
        <v>3</v>
      </c>
      <c r="M908" s="4">
        <v>1963</v>
      </c>
      <c r="N908" s="1">
        <v>2461</v>
      </c>
      <c r="O908" s="1">
        <v>5661</v>
      </c>
      <c r="P908" s="1">
        <v>3200</v>
      </c>
      <c r="Q908" s="1" t="s">
        <v>42</v>
      </c>
      <c r="S908" s="1" t="s">
        <v>42</v>
      </c>
      <c r="T908" s="1" t="s">
        <v>153</v>
      </c>
      <c r="U908" s="1">
        <v>50</v>
      </c>
      <c r="V908" s="5">
        <v>43678</v>
      </c>
      <c r="W908" s="5">
        <v>43193</v>
      </c>
      <c r="X908" s="1">
        <v>3350000</v>
      </c>
      <c r="Y908" s="1">
        <v>3350000</v>
      </c>
      <c r="Z908" s="5">
        <v>43243</v>
      </c>
      <c r="AA908" s="1">
        <v>3225000</v>
      </c>
      <c r="AB908" s="1" t="s">
        <v>761</v>
      </c>
      <c r="AC908" s="5">
        <v>43300</v>
      </c>
      <c r="AF908" s="1">
        <v>10013</v>
      </c>
      <c r="AI908" s="1" t="s">
        <v>55</v>
      </c>
      <c r="AJ908" s="1">
        <v>2014</v>
      </c>
      <c r="AK908" s="1" t="s">
        <v>46</v>
      </c>
      <c r="AL908" s="1">
        <v>66</v>
      </c>
    </row>
    <row r="909" spans="1:38" x14ac:dyDescent="0.2">
      <c r="A909" s="2" t="str">
        <f>HYPERLINK("https://www.compass.com/listing/71-laight-street-unit-3f-manhattan-ny-10013/50844303349603265/","71 Laight St, Unit 3F")</f>
        <v>71 Laight St, Unit 3F</v>
      </c>
      <c r="B909" s="2" t="str">
        <f t="shared" ref="B909:B914" si="131">HYPERLINK("https://www.compass.com/building/the-sterling-mason-manhattan-ny/281919618778432805/","The Sterling Mason")</f>
        <v>The Sterling Mason</v>
      </c>
      <c r="C909" s="1" t="s">
        <v>65</v>
      </c>
      <c r="D909" s="1" t="s">
        <v>41</v>
      </c>
      <c r="E909" s="3">
        <v>5200000</v>
      </c>
      <c r="F909" s="1">
        <v>2158.57202158572</v>
      </c>
      <c r="G909" s="1">
        <v>7</v>
      </c>
      <c r="H909" s="1">
        <v>3</v>
      </c>
      <c r="I909" s="1">
        <v>4</v>
      </c>
      <c r="J909" s="1">
        <v>3.5</v>
      </c>
      <c r="M909" s="4">
        <v>2409</v>
      </c>
      <c r="N909" s="1">
        <v>3853</v>
      </c>
      <c r="O909" s="1">
        <v>5328</v>
      </c>
      <c r="P909" s="1">
        <v>1475</v>
      </c>
      <c r="Q909" s="1" t="s">
        <v>42</v>
      </c>
      <c r="S909" s="1" t="s">
        <v>42</v>
      </c>
      <c r="T909" s="1" t="s">
        <v>153</v>
      </c>
      <c r="V909" s="5">
        <v>44209</v>
      </c>
      <c r="W909" s="5">
        <v>41975</v>
      </c>
      <c r="X909" s="1">
        <v>5200000</v>
      </c>
      <c r="Y909" s="1">
        <v>5200000</v>
      </c>
      <c r="Z909" s="5">
        <v>41975</v>
      </c>
      <c r="AA909" s="1">
        <v>5200000</v>
      </c>
      <c r="AB909" s="1" t="s">
        <v>177</v>
      </c>
      <c r="AC909" s="5">
        <v>42198</v>
      </c>
      <c r="AF909" s="1">
        <v>10013</v>
      </c>
      <c r="AI909" s="1" t="s">
        <v>180</v>
      </c>
      <c r="AJ909" s="1">
        <v>2015</v>
      </c>
      <c r="AK909" s="1" t="s">
        <v>49</v>
      </c>
      <c r="AL909" s="1">
        <v>33</v>
      </c>
    </row>
    <row r="910" spans="1:38" x14ac:dyDescent="0.2">
      <c r="A910" s="2" t="str">
        <f>HYPERLINK("https://www.compass.com/listing/71-laight-street-unit-phb-manhattan-ny-10013/4852263164387004465/","71 Laight St, Unit PHB")</f>
        <v>71 Laight St, Unit PHB</v>
      </c>
      <c r="B910" s="2" t="str">
        <f t="shared" si="131"/>
        <v>The Sterling Mason</v>
      </c>
      <c r="C910" s="1" t="s">
        <v>65</v>
      </c>
      <c r="D910" s="1" t="s">
        <v>41</v>
      </c>
      <c r="E910" s="3">
        <v>22210782</v>
      </c>
      <c r="F910" s="1">
        <v>3952.09644128113</v>
      </c>
      <c r="G910" s="1">
        <v>19</v>
      </c>
      <c r="H910" s="1">
        <v>6</v>
      </c>
      <c r="I910" s="1">
        <v>8</v>
      </c>
      <c r="J910" s="1">
        <v>8</v>
      </c>
      <c r="M910" s="4">
        <v>5620</v>
      </c>
      <c r="N910" s="1">
        <v>10238</v>
      </c>
      <c r="O910" s="1">
        <v>14158</v>
      </c>
      <c r="P910" s="1">
        <v>3920</v>
      </c>
      <c r="Q910" s="1" t="s">
        <v>42</v>
      </c>
      <c r="S910" s="1" t="s">
        <v>42</v>
      </c>
      <c r="T910" s="1" t="s">
        <v>153</v>
      </c>
      <c r="V910" s="5">
        <v>44209</v>
      </c>
      <c r="W910" s="5">
        <v>41976</v>
      </c>
      <c r="X910" s="1">
        <v>23000000</v>
      </c>
      <c r="Y910" s="1">
        <v>23000000</v>
      </c>
      <c r="Z910" s="5">
        <v>41976</v>
      </c>
      <c r="AA910" s="1">
        <v>22210782</v>
      </c>
      <c r="AB910" s="1" t="s">
        <v>177</v>
      </c>
      <c r="AC910" s="5">
        <v>42599</v>
      </c>
      <c r="AF910" s="1">
        <v>10013</v>
      </c>
      <c r="AI910" s="1" t="s">
        <v>75</v>
      </c>
      <c r="AJ910" s="1">
        <v>2015</v>
      </c>
      <c r="AK910" s="1" t="s">
        <v>49</v>
      </c>
      <c r="AL910" s="1">
        <v>33</v>
      </c>
    </row>
    <row r="911" spans="1:38" x14ac:dyDescent="0.2">
      <c r="A911" s="2" t="str">
        <f>HYPERLINK("https://www.compass.com/listing/71-laight-street-unit-3b-manhattan-ny-10013/29359347045782929/","71 Laight St, Unit 3B")</f>
        <v>71 Laight St, Unit 3B</v>
      </c>
      <c r="B911" s="2" t="str">
        <f t="shared" si="131"/>
        <v>The Sterling Mason</v>
      </c>
      <c r="C911" s="1" t="s">
        <v>65</v>
      </c>
      <c r="D911" s="1" t="s">
        <v>41</v>
      </c>
      <c r="E911" s="3">
        <v>5294900</v>
      </c>
      <c r="F911" s="1">
        <v>2405.67923671058</v>
      </c>
      <c r="G911" s="1">
        <v>9</v>
      </c>
      <c r="H911" s="1">
        <v>3</v>
      </c>
      <c r="I911" s="1">
        <v>3</v>
      </c>
      <c r="J911" s="1">
        <v>3</v>
      </c>
      <c r="M911" s="4">
        <v>2201</v>
      </c>
      <c r="N911" s="1">
        <v>3521</v>
      </c>
      <c r="O911" s="1">
        <v>4869</v>
      </c>
      <c r="P911" s="1">
        <v>1348</v>
      </c>
      <c r="Q911" s="1" t="s">
        <v>42</v>
      </c>
      <c r="S911" s="1" t="s">
        <v>42</v>
      </c>
      <c r="T911" s="1" t="s">
        <v>153</v>
      </c>
      <c r="V911" s="5">
        <v>44209</v>
      </c>
      <c r="W911" s="5">
        <v>41976</v>
      </c>
      <c r="X911" s="1">
        <v>5200000</v>
      </c>
      <c r="Y911" s="1">
        <v>5200000</v>
      </c>
      <c r="Z911" s="5">
        <v>41976</v>
      </c>
      <c r="AA911" s="1">
        <v>5294900</v>
      </c>
      <c r="AB911" s="1" t="s">
        <v>762</v>
      </c>
      <c r="AC911" s="5">
        <v>42303</v>
      </c>
      <c r="AF911" s="1">
        <v>10013</v>
      </c>
      <c r="AI911" s="1" t="s">
        <v>66</v>
      </c>
      <c r="AJ911" s="1">
        <v>2015</v>
      </c>
      <c r="AK911" s="1" t="s">
        <v>49</v>
      </c>
      <c r="AL911" s="1">
        <v>33</v>
      </c>
    </row>
    <row r="912" spans="1:38" x14ac:dyDescent="0.2">
      <c r="A912" s="2" t="str">
        <f>HYPERLINK("https://www.compass.com/listing/71-laight-street-unit-2b-manhattan-ny-10013/29359345829467249/","71 Laight St, Unit 2B")</f>
        <v>71 Laight St, Unit 2B</v>
      </c>
      <c r="B912" s="2" t="str">
        <f t="shared" si="131"/>
        <v>The Sterling Mason</v>
      </c>
      <c r="C912" s="1" t="s">
        <v>65</v>
      </c>
      <c r="D912" s="1" t="s">
        <v>41</v>
      </c>
      <c r="E912" s="3">
        <v>5549463</v>
      </c>
      <c r="F912" s="1">
        <v>2502.01217312894</v>
      </c>
      <c r="G912" s="1">
        <v>9</v>
      </c>
      <c r="H912" s="1">
        <v>3</v>
      </c>
      <c r="I912" s="1">
        <v>4</v>
      </c>
      <c r="J912" s="1">
        <v>3.5</v>
      </c>
      <c r="M912" s="4">
        <v>2218</v>
      </c>
      <c r="N912" s="1">
        <v>3530</v>
      </c>
      <c r="O912" s="1">
        <v>4882</v>
      </c>
      <c r="P912" s="1">
        <v>1352</v>
      </c>
      <c r="Q912" s="1" t="s">
        <v>42</v>
      </c>
      <c r="S912" s="1" t="s">
        <v>42</v>
      </c>
      <c r="T912" s="1" t="s">
        <v>153</v>
      </c>
      <c r="V912" s="5">
        <v>44209</v>
      </c>
      <c r="W912" s="5">
        <v>41976</v>
      </c>
      <c r="X912" s="1">
        <v>5450000</v>
      </c>
      <c r="Y912" s="1">
        <v>5450000</v>
      </c>
      <c r="Z912" s="5">
        <v>41976</v>
      </c>
      <c r="AA912" s="1">
        <v>5549463</v>
      </c>
      <c r="AB912" s="1" t="s">
        <v>763</v>
      </c>
      <c r="AC912" s="5">
        <v>42270</v>
      </c>
      <c r="AF912" s="1">
        <v>10013</v>
      </c>
      <c r="AI912" s="1" t="s">
        <v>66</v>
      </c>
      <c r="AJ912" s="1">
        <v>2015</v>
      </c>
      <c r="AK912" s="1" t="s">
        <v>49</v>
      </c>
      <c r="AL912" s="1">
        <v>33</v>
      </c>
    </row>
    <row r="913" spans="1:38" x14ac:dyDescent="0.2">
      <c r="A913" s="2" t="str">
        <f>HYPERLINK("https://www.compass.com/listing/71-laight-street-unit-4b-manhattan-ny-10013/29359348622878097/","71 Laight St, Unit 4B")</f>
        <v>71 Laight St, Unit 4B</v>
      </c>
      <c r="B913" s="2" t="str">
        <f t="shared" si="131"/>
        <v>The Sterling Mason</v>
      </c>
      <c r="C913" s="1" t="s">
        <v>65</v>
      </c>
      <c r="D913" s="1" t="s">
        <v>41</v>
      </c>
      <c r="E913" s="3">
        <v>5150000</v>
      </c>
      <c r="F913" s="1">
        <v>2321.9116321009901</v>
      </c>
      <c r="G913" s="1">
        <v>4</v>
      </c>
      <c r="H913" s="1">
        <v>3</v>
      </c>
      <c r="I913" s="1">
        <v>4</v>
      </c>
      <c r="J913" s="1">
        <v>3.5</v>
      </c>
      <c r="K913" s="1">
        <v>3</v>
      </c>
      <c r="L913" s="1">
        <v>1</v>
      </c>
      <c r="M913" s="4">
        <v>2218</v>
      </c>
      <c r="N913" s="1">
        <v>3565</v>
      </c>
      <c r="O913" s="1">
        <v>4930</v>
      </c>
      <c r="P913" s="1">
        <v>1365</v>
      </c>
      <c r="Q913" s="1" t="s">
        <v>42</v>
      </c>
      <c r="S913" s="1" t="s">
        <v>42</v>
      </c>
      <c r="T913" s="1" t="s">
        <v>153</v>
      </c>
      <c r="V913" s="5">
        <v>44225</v>
      </c>
      <c r="W913" s="5">
        <v>41976</v>
      </c>
      <c r="X913" s="1">
        <v>5350000</v>
      </c>
      <c r="Y913" s="1">
        <v>5350000</v>
      </c>
      <c r="Z913" s="5">
        <v>41976</v>
      </c>
      <c r="AA913" s="1">
        <v>5150000</v>
      </c>
      <c r="AB913" s="1" t="s">
        <v>764</v>
      </c>
      <c r="AC913" s="5">
        <v>42279</v>
      </c>
      <c r="AF913" s="1">
        <v>10013</v>
      </c>
      <c r="AI913" s="1" t="s">
        <v>66</v>
      </c>
      <c r="AJ913" s="1">
        <v>2015</v>
      </c>
      <c r="AK913" s="1" t="s">
        <v>49</v>
      </c>
      <c r="AL913" s="1">
        <v>33</v>
      </c>
    </row>
    <row r="914" spans="1:38" x14ac:dyDescent="0.2">
      <c r="A914" s="2" t="str">
        <f>HYPERLINK("https://www.compass.com/listing/71-laight-street-unit-4e-manhattan-ny-10013/4852305623620004065/","71 Laight St, Unit 4E")</f>
        <v>71 Laight St, Unit 4E</v>
      </c>
      <c r="B914" s="2" t="str">
        <f t="shared" si="131"/>
        <v>The Sterling Mason</v>
      </c>
      <c r="C914" s="1" t="s">
        <v>65</v>
      </c>
      <c r="D914" s="1" t="s">
        <v>41</v>
      </c>
      <c r="E914" s="3">
        <v>5753112</v>
      </c>
      <c r="F914" s="1">
        <v>2515.5714910362899</v>
      </c>
      <c r="G914" s="1">
        <v>9</v>
      </c>
      <c r="H914" s="1">
        <v>3</v>
      </c>
      <c r="I914" s="1">
        <v>4</v>
      </c>
      <c r="J914" s="1">
        <v>3.5</v>
      </c>
      <c r="K914" s="1">
        <v>3</v>
      </c>
      <c r="L914" s="1">
        <v>1</v>
      </c>
      <c r="M914" s="4">
        <v>2287</v>
      </c>
      <c r="N914" s="1">
        <v>3676</v>
      </c>
      <c r="O914" s="1">
        <v>5083</v>
      </c>
      <c r="P914" s="1">
        <v>1407</v>
      </c>
      <c r="Q914" s="1" t="s">
        <v>42</v>
      </c>
      <c r="S914" s="1" t="s">
        <v>42</v>
      </c>
      <c r="T914" s="1" t="s">
        <v>153</v>
      </c>
      <c r="V914" s="5">
        <v>44225</v>
      </c>
      <c r="W914" s="5">
        <v>41976</v>
      </c>
      <c r="X914" s="1">
        <v>5650000</v>
      </c>
      <c r="Y914" s="1">
        <v>5650000</v>
      </c>
      <c r="Z914" s="5">
        <v>41976</v>
      </c>
      <c r="AA914" s="1">
        <v>5753112</v>
      </c>
      <c r="AB914" s="1" t="s">
        <v>177</v>
      </c>
      <c r="AC914" s="5">
        <v>42193</v>
      </c>
      <c r="AF914" s="1">
        <v>10013</v>
      </c>
      <c r="AI914" s="1" t="s">
        <v>66</v>
      </c>
      <c r="AJ914" s="1">
        <v>2015</v>
      </c>
      <c r="AK914" s="1" t="s">
        <v>49</v>
      </c>
      <c r="AL914" s="1">
        <v>33</v>
      </c>
    </row>
    <row r="915" spans="1:38" x14ac:dyDescent="0.2">
      <c r="A915" s="2" t="str">
        <f>HYPERLINK("https://www.compass.com/listing/101-leonard-street-unit-3c-manhattan-ny-10013/29358427134261137/","101 Leonard St, Unit 3C")</f>
        <v>101 Leonard St, Unit 3C</v>
      </c>
      <c r="B915" s="2" t="str">
        <f>HYPERLINK("https://www.compass.com/building/the-leonard-manhattan-ny/281919139939910965/","The Leonard")</f>
        <v>The Leonard</v>
      </c>
      <c r="C915" s="1" t="s">
        <v>65</v>
      </c>
      <c r="D915" s="1" t="s">
        <v>41</v>
      </c>
      <c r="E915" s="3">
        <v>1440000</v>
      </c>
      <c r="F915" s="1">
        <v>1514.1955835962101</v>
      </c>
      <c r="G915" s="1">
        <v>4</v>
      </c>
      <c r="H915" s="1">
        <v>1</v>
      </c>
      <c r="I915" s="1">
        <v>2</v>
      </c>
      <c r="J915" s="1">
        <v>1.5</v>
      </c>
      <c r="K915" s="1">
        <v>1</v>
      </c>
      <c r="L915" s="1">
        <v>1</v>
      </c>
      <c r="M915" s="1">
        <v>951</v>
      </c>
      <c r="N915" s="1">
        <v>1057</v>
      </c>
      <c r="O915" s="1">
        <v>2457</v>
      </c>
      <c r="P915" s="1">
        <v>1400</v>
      </c>
      <c r="Q915" s="1" t="s">
        <v>42</v>
      </c>
      <c r="S915" s="1" t="s">
        <v>42</v>
      </c>
      <c r="T915" s="1" t="s">
        <v>153</v>
      </c>
      <c r="U915" s="1">
        <v>107</v>
      </c>
      <c r="V915" s="5">
        <v>43623</v>
      </c>
      <c r="W915" s="5">
        <v>42493</v>
      </c>
      <c r="X915" s="1">
        <v>1595000</v>
      </c>
      <c r="Y915" s="1">
        <v>1500000</v>
      </c>
      <c r="Z915" s="5">
        <v>42600</v>
      </c>
      <c r="AA915" s="1">
        <v>1440000</v>
      </c>
      <c r="AB915" s="1" t="s">
        <v>765</v>
      </c>
      <c r="AC915" s="5">
        <v>42621</v>
      </c>
      <c r="AF915" s="1">
        <v>10013</v>
      </c>
      <c r="AI915" s="1" t="s">
        <v>87</v>
      </c>
      <c r="AJ915" s="1">
        <v>2014</v>
      </c>
      <c r="AK915" s="1" t="s">
        <v>49</v>
      </c>
      <c r="AL915" s="1">
        <v>66</v>
      </c>
    </row>
    <row r="916" spans="1:38" x14ac:dyDescent="0.2">
      <c r="A916" s="2" t="str">
        <f>HYPERLINK("https://www.compass.com/listing/71-laight-street-unit-5e-manhattan-ny-10013/623204663422461625/","71 Laight St, Unit 5E")</f>
        <v>71 Laight St, Unit 5E</v>
      </c>
      <c r="B916" s="2" t="str">
        <f>HYPERLINK("https://www.compass.com/building/the-sterling-mason-manhattan-ny/281919618778432805/","The Sterling Mason")</f>
        <v>The Sterling Mason</v>
      </c>
      <c r="C916" s="1" t="s">
        <v>65</v>
      </c>
      <c r="D916" s="1" t="s">
        <v>41</v>
      </c>
      <c r="E916" s="3">
        <v>5175000</v>
      </c>
      <c r="F916" s="1">
        <v>2262.7896808045398</v>
      </c>
      <c r="G916" s="1">
        <v>5</v>
      </c>
      <c r="H916" s="1">
        <v>3</v>
      </c>
      <c r="I916" s="1">
        <v>4</v>
      </c>
      <c r="J916" s="1">
        <v>3.5</v>
      </c>
      <c r="K916" s="1">
        <v>3</v>
      </c>
      <c r="L916" s="1">
        <v>1</v>
      </c>
      <c r="M916" s="4">
        <v>2287</v>
      </c>
      <c r="N916" s="1">
        <v>3863</v>
      </c>
      <c r="O916" s="1">
        <v>6196</v>
      </c>
      <c r="P916" s="1">
        <v>2333</v>
      </c>
      <c r="Q916" s="1" t="s">
        <v>42</v>
      </c>
      <c r="S916" s="1" t="s">
        <v>42</v>
      </c>
      <c r="T916" s="1" t="s">
        <v>153</v>
      </c>
      <c r="U916" s="1">
        <v>1</v>
      </c>
      <c r="V916" s="5">
        <v>44400</v>
      </c>
      <c r="W916" s="5">
        <v>44112</v>
      </c>
      <c r="X916" s="1">
        <v>5300000</v>
      </c>
      <c r="Y916" s="1">
        <v>5300000</v>
      </c>
      <c r="Z916" s="5">
        <v>44114</v>
      </c>
      <c r="AA916" s="1">
        <v>5175000</v>
      </c>
      <c r="AB916" s="1" t="s">
        <v>177</v>
      </c>
      <c r="AC916" s="5">
        <v>44167</v>
      </c>
      <c r="AF916" s="1">
        <v>10013</v>
      </c>
      <c r="AI916" s="1" t="s">
        <v>66</v>
      </c>
      <c r="AJ916" s="1">
        <v>2015</v>
      </c>
      <c r="AK916" s="1" t="s">
        <v>46</v>
      </c>
      <c r="AL916" s="1">
        <v>33</v>
      </c>
    </row>
    <row r="917" spans="1:38" x14ac:dyDescent="0.2">
      <c r="A917" s="2" t="str">
        <f>HYPERLINK("https://www.compass.com/listing/101-leonard-street-unit-phaa-manhattan-ny-10013/4852322891217245489/","101 Leonard St, Unit PHAA")</f>
        <v>101 Leonard St, Unit PHAA</v>
      </c>
      <c r="B917" s="2" t="str">
        <f>HYPERLINK("https://www.compass.com/building/the-leonard-manhattan-ny/281919139939910965/","The Leonard")</f>
        <v>The Leonard</v>
      </c>
      <c r="C917" s="1" t="s">
        <v>65</v>
      </c>
      <c r="D917" s="1" t="s">
        <v>41</v>
      </c>
      <c r="E917" s="3">
        <v>6780000</v>
      </c>
      <c r="F917" s="1">
        <v>2396.6065747613902</v>
      </c>
      <c r="G917" s="1">
        <v>9</v>
      </c>
      <c r="H917" s="1">
        <v>4</v>
      </c>
      <c r="I917" s="1">
        <v>4</v>
      </c>
      <c r="J917" s="1">
        <v>4</v>
      </c>
      <c r="M917" s="4">
        <v>2829</v>
      </c>
      <c r="N917" s="1">
        <v>3452</v>
      </c>
      <c r="O917" s="1">
        <v>6789</v>
      </c>
      <c r="P917" s="1">
        <v>3337</v>
      </c>
      <c r="Q917" s="1" t="s">
        <v>42</v>
      </c>
      <c r="S917" s="1" t="s">
        <v>42</v>
      </c>
      <c r="T917" s="1" t="s">
        <v>153</v>
      </c>
      <c r="U917" s="1">
        <v>50</v>
      </c>
      <c r="V917" s="5">
        <v>43651</v>
      </c>
      <c r="W917" s="5">
        <v>42193</v>
      </c>
      <c r="X917" s="1">
        <v>6995000</v>
      </c>
      <c r="Y917" s="1">
        <v>6995000</v>
      </c>
      <c r="Z917" s="5">
        <v>42243</v>
      </c>
      <c r="AA917" s="1">
        <v>6780000</v>
      </c>
      <c r="AB917" s="1" t="s">
        <v>177</v>
      </c>
      <c r="AC917" s="5">
        <v>42272</v>
      </c>
      <c r="AF917" s="1">
        <v>10013</v>
      </c>
      <c r="AI917" s="1" t="s">
        <v>757</v>
      </c>
      <c r="AJ917" s="1">
        <v>2014</v>
      </c>
      <c r="AK917" s="1" t="s">
        <v>46</v>
      </c>
      <c r="AL917" s="1">
        <v>66</v>
      </c>
    </row>
    <row r="918" spans="1:38" x14ac:dyDescent="0.2">
      <c r="A918" s="2" t="str">
        <f>HYPERLINK("https://www.compass.com/listing/71-laight-street-unit-4f-manhattan-ny-10013/4852272003102548497/","71 Laight St, Unit 4F")</f>
        <v>71 Laight St, Unit 4F</v>
      </c>
      <c r="B918" s="2" t="str">
        <f>HYPERLINK("https://www.compass.com/building/the-sterling-mason-manhattan-ny/281919618778432805/","The Sterling Mason")</f>
        <v>The Sterling Mason</v>
      </c>
      <c r="C918" s="1" t="s">
        <v>65</v>
      </c>
      <c r="D918" s="1" t="s">
        <v>41</v>
      </c>
      <c r="E918" s="3">
        <v>5294900</v>
      </c>
      <c r="F918" s="1">
        <v>2197.9659609796499</v>
      </c>
      <c r="G918" s="1">
        <v>7</v>
      </c>
      <c r="H918" s="1">
        <v>3</v>
      </c>
      <c r="I918" s="1">
        <v>4</v>
      </c>
      <c r="J918" s="1">
        <v>3.5</v>
      </c>
      <c r="M918" s="4">
        <v>2409</v>
      </c>
      <c r="N918" s="1">
        <v>3872</v>
      </c>
      <c r="O918" s="1">
        <v>5355</v>
      </c>
      <c r="P918" s="1">
        <v>1483</v>
      </c>
      <c r="Q918" s="1" t="s">
        <v>42</v>
      </c>
      <c r="S918" s="1" t="s">
        <v>42</v>
      </c>
      <c r="T918" s="1" t="s">
        <v>153</v>
      </c>
      <c r="V918" s="5">
        <v>44209</v>
      </c>
      <c r="W918" s="5">
        <v>41976</v>
      </c>
      <c r="X918" s="1">
        <v>5350000</v>
      </c>
      <c r="Y918" s="1">
        <v>5350000</v>
      </c>
      <c r="Z918" s="5">
        <v>41976</v>
      </c>
      <c r="AA918" s="1">
        <v>5294900</v>
      </c>
      <c r="AB918" s="1" t="s">
        <v>177</v>
      </c>
      <c r="AC918" s="5">
        <v>42187</v>
      </c>
      <c r="AF918" s="1">
        <v>10013</v>
      </c>
      <c r="AI918" s="1" t="s">
        <v>66</v>
      </c>
      <c r="AJ918" s="1">
        <v>2015</v>
      </c>
      <c r="AK918" s="1" t="s">
        <v>49</v>
      </c>
      <c r="AL918" s="1">
        <v>33</v>
      </c>
    </row>
    <row r="919" spans="1:38" x14ac:dyDescent="0.2">
      <c r="A919" s="2" t="str">
        <f>HYPERLINK("https://www.compass.com/listing/101-leonard-street-unit-9a-manhattan-ny-10013/4852316236056374081/","101 Leonard St, Unit 9A")</f>
        <v>101 Leonard St, Unit 9A</v>
      </c>
      <c r="B919" s="2" t="str">
        <f>HYPERLINK("https://www.compass.com/building/the-leonard-manhattan-ny/281919139939910965/","The Leonard")</f>
        <v>The Leonard</v>
      </c>
      <c r="C919" s="1" t="s">
        <v>65</v>
      </c>
      <c r="D919" s="1" t="s">
        <v>41</v>
      </c>
      <c r="E919" s="3">
        <v>2189237</v>
      </c>
      <c r="F919" s="1">
        <v>1898.7311361665199</v>
      </c>
      <c r="G919" s="1">
        <v>4</v>
      </c>
      <c r="H919" s="1">
        <v>2</v>
      </c>
      <c r="I919" s="1">
        <v>2</v>
      </c>
      <c r="J919" s="1">
        <v>2</v>
      </c>
      <c r="M919" s="4">
        <v>1153</v>
      </c>
      <c r="N919" s="1">
        <v>1295</v>
      </c>
      <c r="O919" s="1">
        <v>2582</v>
      </c>
      <c r="P919" s="1">
        <v>1287</v>
      </c>
      <c r="Q919" s="1" t="s">
        <v>42</v>
      </c>
      <c r="S919" s="1" t="s">
        <v>42</v>
      </c>
      <c r="T919" s="1" t="s">
        <v>153</v>
      </c>
      <c r="U919" s="1">
        <v>16</v>
      </c>
      <c r="V919" s="5">
        <v>43655</v>
      </c>
      <c r="W919" s="5">
        <v>41626</v>
      </c>
      <c r="X919" s="1">
        <v>2150000</v>
      </c>
      <c r="Y919" s="1">
        <v>2150000</v>
      </c>
      <c r="Z919" s="5">
        <v>41642</v>
      </c>
      <c r="AA919" s="1">
        <v>2189237</v>
      </c>
      <c r="AB919" s="1" t="s">
        <v>766</v>
      </c>
      <c r="AC919" s="5">
        <v>41956</v>
      </c>
      <c r="AF919" s="1">
        <v>10013</v>
      </c>
      <c r="AI919" s="1" t="s">
        <v>55</v>
      </c>
      <c r="AJ919" s="1">
        <v>2014</v>
      </c>
      <c r="AK919" s="1" t="s">
        <v>49</v>
      </c>
      <c r="AL919" s="1">
        <v>66</v>
      </c>
    </row>
    <row r="920" spans="1:38" x14ac:dyDescent="0.2">
      <c r="A920" s="2" t="str">
        <f>HYPERLINK("https://www.compass.com/listing/71-laight-street-unit-4c-manhattan-ny-10013/181047080888921697/","71 Laight St, Unit 4C")</f>
        <v>71 Laight St, Unit 4C</v>
      </c>
      <c r="B920" s="2" t="str">
        <f t="shared" ref="B920:B923" si="132">HYPERLINK("https://www.compass.com/building/the-sterling-mason-manhattan-ny/281919618778432805/","The Sterling Mason")</f>
        <v>The Sterling Mason</v>
      </c>
      <c r="C920" s="1" t="s">
        <v>65</v>
      </c>
      <c r="D920" s="1" t="s">
        <v>41</v>
      </c>
      <c r="E920" s="3">
        <v>9799013</v>
      </c>
      <c r="F920" s="1">
        <v>2642.6680151024798</v>
      </c>
      <c r="G920" s="1">
        <v>14</v>
      </c>
      <c r="H920" s="1">
        <v>5</v>
      </c>
      <c r="I920" s="1">
        <v>6</v>
      </c>
      <c r="J920" s="1">
        <v>5.5</v>
      </c>
      <c r="M920" s="4">
        <v>3708</v>
      </c>
      <c r="N920" s="1">
        <v>5961</v>
      </c>
      <c r="O920" s="1">
        <v>8504</v>
      </c>
      <c r="P920" s="1">
        <v>2543</v>
      </c>
      <c r="Q920" s="1" t="s">
        <v>42</v>
      </c>
      <c r="S920" s="1" t="s">
        <v>42</v>
      </c>
      <c r="T920" s="1" t="s">
        <v>153</v>
      </c>
      <c r="V920" s="5">
        <v>44209</v>
      </c>
      <c r="W920" s="5">
        <v>42399</v>
      </c>
      <c r="X920" s="1">
        <v>9900000</v>
      </c>
      <c r="Y920" s="1">
        <v>9900000</v>
      </c>
      <c r="Z920" s="5">
        <v>42399</v>
      </c>
      <c r="AA920" s="1">
        <v>9799013</v>
      </c>
      <c r="AB920" s="1" t="s">
        <v>767</v>
      </c>
      <c r="AC920" s="5">
        <v>42465</v>
      </c>
      <c r="AF920" s="1">
        <v>10013</v>
      </c>
      <c r="AI920" s="1" t="s">
        <v>66</v>
      </c>
      <c r="AJ920" s="1">
        <v>2015</v>
      </c>
      <c r="AK920" s="1" t="s">
        <v>49</v>
      </c>
      <c r="AL920" s="1">
        <v>33</v>
      </c>
    </row>
    <row r="921" spans="1:38" x14ac:dyDescent="0.2">
      <c r="A921" s="2" t="str">
        <f>HYPERLINK("https://www.compass.com/listing/71-laight-street-unit-6c-manhattan-ny-10013/29359350560646577/","71 Laight St, Unit 6C")</f>
        <v>71 Laight St, Unit 6C</v>
      </c>
      <c r="B921" s="2" t="str">
        <f t="shared" si="132"/>
        <v>The Sterling Mason</v>
      </c>
      <c r="C921" s="1" t="s">
        <v>65</v>
      </c>
      <c r="D921" s="1" t="s">
        <v>41</v>
      </c>
      <c r="E921" s="3">
        <v>12728125</v>
      </c>
      <c r="F921" s="1">
        <v>3037.7386634844802</v>
      </c>
      <c r="G921" s="1">
        <v>14</v>
      </c>
      <c r="H921" s="1">
        <v>4</v>
      </c>
      <c r="I921" s="1">
        <v>5</v>
      </c>
      <c r="J921" s="1">
        <v>4.5</v>
      </c>
      <c r="M921" s="4">
        <v>4190</v>
      </c>
      <c r="N921" s="1">
        <v>6802</v>
      </c>
      <c r="O921" s="1">
        <v>9406</v>
      </c>
      <c r="P921" s="1">
        <v>2604</v>
      </c>
      <c r="Q921" s="1" t="s">
        <v>42</v>
      </c>
      <c r="S921" s="1" t="s">
        <v>42</v>
      </c>
      <c r="T921" s="1" t="s">
        <v>153</v>
      </c>
      <c r="V921" s="5">
        <v>44209</v>
      </c>
      <c r="W921" s="5">
        <v>41976</v>
      </c>
      <c r="X921" s="1">
        <v>12500000</v>
      </c>
      <c r="Y921" s="1">
        <v>12500000</v>
      </c>
      <c r="Z921" s="5">
        <v>41976</v>
      </c>
      <c r="AA921" s="1">
        <v>12728125</v>
      </c>
      <c r="AB921" s="1" t="s">
        <v>768</v>
      </c>
      <c r="AC921" s="5">
        <v>42356</v>
      </c>
      <c r="AF921" s="1">
        <v>10013</v>
      </c>
      <c r="AI921" s="1" t="s">
        <v>146</v>
      </c>
      <c r="AJ921" s="1">
        <v>2015</v>
      </c>
      <c r="AK921" s="1" t="s">
        <v>49</v>
      </c>
      <c r="AL921" s="1">
        <v>33</v>
      </c>
    </row>
    <row r="922" spans="1:38" x14ac:dyDescent="0.2">
      <c r="A922" s="2" t="str">
        <f>HYPERLINK("https://www.compass.com/listing/71-laight-street-unit-3d-manhattan-ny-10013/50856116657184273/","71 Laight St, Unit 3D")</f>
        <v>71 Laight St, Unit 3D</v>
      </c>
      <c r="B922" s="2" t="str">
        <f t="shared" si="132"/>
        <v>The Sterling Mason</v>
      </c>
      <c r="C922" s="1" t="s">
        <v>65</v>
      </c>
      <c r="D922" s="1" t="s">
        <v>41</v>
      </c>
      <c r="E922" s="3">
        <v>8325281</v>
      </c>
      <c r="F922" s="1">
        <v>2567.1541782300301</v>
      </c>
      <c r="G922" s="1">
        <v>12</v>
      </c>
      <c r="H922" s="1">
        <v>4</v>
      </c>
      <c r="I922" s="1">
        <v>5</v>
      </c>
      <c r="J922" s="1">
        <v>4.5</v>
      </c>
      <c r="M922" s="4">
        <v>3243</v>
      </c>
      <c r="N922" s="1">
        <v>5187</v>
      </c>
      <c r="O922" s="1">
        <v>7173</v>
      </c>
      <c r="P922" s="1">
        <v>1986</v>
      </c>
      <c r="Q922" s="1" t="s">
        <v>42</v>
      </c>
      <c r="S922" s="1" t="s">
        <v>42</v>
      </c>
      <c r="T922" s="1" t="s">
        <v>153</v>
      </c>
      <c r="V922" s="5">
        <v>44209</v>
      </c>
      <c r="W922" s="5">
        <v>41976</v>
      </c>
      <c r="X922" s="1">
        <v>8250000</v>
      </c>
      <c r="Y922" s="1">
        <v>8250000</v>
      </c>
      <c r="Z922" s="5">
        <v>41976</v>
      </c>
      <c r="AA922" s="1">
        <v>8325281</v>
      </c>
      <c r="AB922" s="1" t="s">
        <v>177</v>
      </c>
      <c r="AC922" s="5">
        <v>42194</v>
      </c>
      <c r="AF922" s="1">
        <v>10013</v>
      </c>
      <c r="AI922" s="1" t="s">
        <v>66</v>
      </c>
      <c r="AJ922" s="1">
        <v>2015</v>
      </c>
      <c r="AK922" s="1" t="s">
        <v>46</v>
      </c>
      <c r="AL922" s="1">
        <v>33</v>
      </c>
    </row>
    <row r="923" spans="1:38" x14ac:dyDescent="0.2">
      <c r="A923" s="2" t="str">
        <f>HYPERLINK("https://www.compass.com/listing/71-laight-street-unit-3a-manhattan-ny-10013/70911355573570849/","71 Laight St, Unit 3A")</f>
        <v>71 Laight St, Unit 3A</v>
      </c>
      <c r="B923" s="2" t="str">
        <f t="shared" si="132"/>
        <v>The Sterling Mason</v>
      </c>
      <c r="C923" s="1" t="s">
        <v>65</v>
      </c>
      <c r="D923" s="1" t="s">
        <v>41</v>
      </c>
      <c r="E923" s="3">
        <v>4067909</v>
      </c>
      <c r="F923" s="1">
        <v>1992.1199804113601</v>
      </c>
      <c r="G923" s="1">
        <v>7</v>
      </c>
      <c r="H923" s="1">
        <v>2</v>
      </c>
      <c r="I923" s="1">
        <v>3</v>
      </c>
      <c r="J923" s="1">
        <v>2.5</v>
      </c>
      <c r="M923" s="4">
        <v>2042</v>
      </c>
      <c r="N923" s="1">
        <v>3266</v>
      </c>
      <c r="O923" s="1">
        <v>4516</v>
      </c>
      <c r="P923" s="1">
        <v>1250</v>
      </c>
      <c r="Q923" s="1" t="s">
        <v>42</v>
      </c>
      <c r="S923" s="1" t="s">
        <v>42</v>
      </c>
      <c r="T923" s="1" t="s">
        <v>153</v>
      </c>
      <c r="V923" s="5">
        <v>44209</v>
      </c>
      <c r="W923" s="5">
        <v>41976</v>
      </c>
      <c r="X923" s="1">
        <v>3995000</v>
      </c>
      <c r="Y923" s="1">
        <v>3995000</v>
      </c>
      <c r="Z923" s="5">
        <v>41976</v>
      </c>
      <c r="AA923" s="1">
        <v>4067909</v>
      </c>
      <c r="AB923" s="1" t="s">
        <v>769</v>
      </c>
      <c r="AC923" s="5">
        <v>42256</v>
      </c>
      <c r="AF923" s="1">
        <v>10013</v>
      </c>
      <c r="AI923" s="1" t="s">
        <v>66</v>
      </c>
      <c r="AJ923" s="1">
        <v>2015</v>
      </c>
      <c r="AK923" s="1" t="s">
        <v>46</v>
      </c>
      <c r="AL923" s="1">
        <v>33</v>
      </c>
    </row>
    <row r="924" spans="1:38" x14ac:dyDescent="0.2">
      <c r="A924" s="2" t="str">
        <f>HYPERLINK("https://www.compass.com/listing/101-leonard-street-unit-phaa-manhattan-ny-10013/4852322891217245473/","101 Leonard St, Unit PHAA")</f>
        <v>101 Leonard St, Unit PHAA</v>
      </c>
      <c r="B924" s="2" t="str">
        <f t="shared" ref="B924:B925" si="133">HYPERLINK("https://www.compass.com/building/the-leonard-manhattan-ny/281919139939910965/","The Leonard")</f>
        <v>The Leonard</v>
      </c>
      <c r="C924" s="1" t="s">
        <v>65</v>
      </c>
      <c r="D924" s="1" t="s">
        <v>41</v>
      </c>
      <c r="E924" s="3">
        <v>6780000</v>
      </c>
      <c r="F924" s="1">
        <v>2396.6065747613902</v>
      </c>
      <c r="G924" s="1">
        <v>9</v>
      </c>
      <c r="H924" s="1">
        <v>4</v>
      </c>
      <c r="I924" s="1">
        <v>4</v>
      </c>
      <c r="J924" s="1">
        <v>4</v>
      </c>
      <c r="M924" s="4">
        <v>2829</v>
      </c>
      <c r="N924" s="1">
        <v>3452</v>
      </c>
      <c r="O924" s="1">
        <v>6882</v>
      </c>
      <c r="P924" s="1">
        <v>3430</v>
      </c>
      <c r="Q924" s="1" t="s">
        <v>42</v>
      </c>
      <c r="S924" s="1" t="s">
        <v>42</v>
      </c>
      <c r="T924" s="1" t="s">
        <v>153</v>
      </c>
      <c r="U924" s="1">
        <v>50</v>
      </c>
      <c r="V924" s="5">
        <v>43671</v>
      </c>
      <c r="W924" s="5">
        <v>42193</v>
      </c>
      <c r="X924" s="1">
        <v>6995000</v>
      </c>
      <c r="Y924" s="1">
        <v>6995000</v>
      </c>
      <c r="Z924" s="5">
        <v>42243</v>
      </c>
      <c r="AA924" s="1">
        <v>6780000</v>
      </c>
      <c r="AB924" s="1" t="s">
        <v>177</v>
      </c>
      <c r="AC924" s="5">
        <v>42272</v>
      </c>
      <c r="AF924" s="1">
        <v>10013</v>
      </c>
      <c r="AI924" s="1" t="s">
        <v>85</v>
      </c>
      <c r="AJ924" s="1">
        <v>2014</v>
      </c>
      <c r="AK924" s="1" t="s">
        <v>46</v>
      </c>
      <c r="AL924" s="1">
        <v>66</v>
      </c>
    </row>
    <row r="925" spans="1:38" x14ac:dyDescent="0.2">
      <c r="A925" s="2" t="str">
        <f>HYPERLINK("https://www.compass.com/listing/101-leonard-street-unit-2b-manhattan-ny-10013/4852279572864964609/","101 Leonard St, Unit 2B")</f>
        <v>101 Leonard St, Unit 2B</v>
      </c>
      <c r="B925" s="2" t="str">
        <f t="shared" si="133"/>
        <v>The Leonard</v>
      </c>
      <c r="C925" s="1" t="s">
        <v>65</v>
      </c>
      <c r="D925" s="1" t="s">
        <v>41</v>
      </c>
      <c r="E925" s="3">
        <v>3131119</v>
      </c>
      <c r="F925" s="1">
        <v>1725.1342975206601</v>
      </c>
      <c r="G925" s="1">
        <v>4</v>
      </c>
      <c r="H925" s="1">
        <v>3</v>
      </c>
      <c r="I925" s="1">
        <v>4</v>
      </c>
      <c r="J925" s="1">
        <v>3.5</v>
      </c>
      <c r="M925" s="4">
        <v>1815</v>
      </c>
      <c r="N925" s="1">
        <v>1971</v>
      </c>
      <c r="O925" s="1">
        <v>3929</v>
      </c>
      <c r="P925" s="1">
        <v>1958</v>
      </c>
      <c r="Q925" s="1" t="s">
        <v>42</v>
      </c>
      <c r="S925" s="1" t="s">
        <v>42</v>
      </c>
      <c r="T925" s="1" t="s">
        <v>153</v>
      </c>
      <c r="U925" s="1">
        <v>60</v>
      </c>
      <c r="V925" s="5">
        <v>43626</v>
      </c>
      <c r="W925" s="5">
        <v>42777</v>
      </c>
      <c r="X925" s="1">
        <v>3295000</v>
      </c>
      <c r="Y925" s="1">
        <v>3295000</v>
      </c>
      <c r="AA925" s="1">
        <v>3295000</v>
      </c>
      <c r="AB925" s="1" t="s">
        <v>177</v>
      </c>
      <c r="AC925" s="5">
        <v>42837</v>
      </c>
      <c r="AF925" s="1">
        <v>10013</v>
      </c>
      <c r="AI925" s="1" t="s">
        <v>55</v>
      </c>
      <c r="AJ925" s="1">
        <v>2014</v>
      </c>
      <c r="AK925" s="1" t="s">
        <v>49</v>
      </c>
      <c r="AL925" s="1">
        <v>66</v>
      </c>
    </row>
    <row r="926" spans="1:38" x14ac:dyDescent="0.2">
      <c r="A926" s="2" t="str">
        <f>HYPERLINK("https://www.compass.com/listing/71-laight-street-unit-2d-manhattan-ny-10013/637394550673290721/","71 Laight St, Unit 2D")</f>
        <v>71 Laight St, Unit 2D</v>
      </c>
      <c r="B926" s="2" t="str">
        <f t="shared" ref="B926:B929" si="134">HYPERLINK("https://www.compass.com/building/the-sterling-mason-manhattan-ny/281919618778432805/","The Sterling Mason")</f>
        <v>The Sterling Mason</v>
      </c>
      <c r="C926" s="1" t="s">
        <v>65</v>
      </c>
      <c r="D926" s="1" t="s">
        <v>41</v>
      </c>
      <c r="E926" s="3">
        <v>8995000</v>
      </c>
      <c r="F926" s="1">
        <v>2773.6663583101999</v>
      </c>
      <c r="G926" s="1">
        <v>6</v>
      </c>
      <c r="H926" s="1">
        <v>4</v>
      </c>
      <c r="I926" s="1">
        <v>5</v>
      </c>
      <c r="J926" s="1">
        <v>4.5</v>
      </c>
      <c r="K926" s="1">
        <v>4</v>
      </c>
      <c r="L926" s="1">
        <v>1</v>
      </c>
      <c r="M926" s="4">
        <v>3243</v>
      </c>
      <c r="N926" s="1">
        <v>5397</v>
      </c>
      <c r="O926" s="1">
        <v>9197</v>
      </c>
      <c r="P926" s="1">
        <v>3800</v>
      </c>
      <c r="Q926" s="1" t="s">
        <v>42</v>
      </c>
      <c r="S926" s="1" t="s">
        <v>42</v>
      </c>
      <c r="T926" s="1" t="s">
        <v>153</v>
      </c>
      <c r="U926" s="1">
        <v>78</v>
      </c>
      <c r="V926" s="5">
        <v>44338</v>
      </c>
      <c r="W926" s="5">
        <v>44128</v>
      </c>
      <c r="X926" s="1">
        <v>9000000</v>
      </c>
      <c r="Y926" s="1">
        <v>9000000</v>
      </c>
      <c r="Z926" s="5">
        <v>44287</v>
      </c>
      <c r="AA926" s="1">
        <v>8995000</v>
      </c>
      <c r="AB926" s="1" t="s">
        <v>177</v>
      </c>
      <c r="AC926" s="5">
        <v>44334</v>
      </c>
      <c r="AF926" s="1">
        <v>10013</v>
      </c>
      <c r="AI926" s="1" t="s">
        <v>770</v>
      </c>
      <c r="AJ926" s="1">
        <v>2015</v>
      </c>
      <c r="AK926" s="1" t="s">
        <v>49</v>
      </c>
      <c r="AL926" s="1">
        <v>33</v>
      </c>
    </row>
    <row r="927" spans="1:38" x14ac:dyDescent="0.2">
      <c r="A927" s="2" t="str">
        <f>HYPERLINK("https://www.compass.com/listing/71-laight-street-unit-5e-manhattan-ny-10013/50851723014616145/","71 Laight St, Unit 5E")</f>
        <v>71 Laight St, Unit 5E</v>
      </c>
      <c r="B927" s="2" t="str">
        <f t="shared" si="134"/>
        <v>The Sterling Mason</v>
      </c>
      <c r="C927" s="1" t="s">
        <v>65</v>
      </c>
      <c r="D927" s="1" t="s">
        <v>41</v>
      </c>
      <c r="E927" s="3">
        <v>6058587</v>
      </c>
      <c r="F927" s="1">
        <v>2649.1416703104501</v>
      </c>
      <c r="G927" s="1">
        <v>9</v>
      </c>
      <c r="H927" s="1">
        <v>3</v>
      </c>
      <c r="I927" s="1">
        <v>4</v>
      </c>
      <c r="J927" s="1">
        <v>3.5</v>
      </c>
      <c r="K927" s="1">
        <v>3</v>
      </c>
      <c r="L927" s="1">
        <v>1</v>
      </c>
      <c r="M927" s="4">
        <v>2287</v>
      </c>
      <c r="N927" s="1">
        <v>3694</v>
      </c>
      <c r="O927" s="1">
        <v>5108</v>
      </c>
      <c r="P927" s="1">
        <v>1414</v>
      </c>
      <c r="Q927" s="1" t="s">
        <v>42</v>
      </c>
      <c r="S927" s="1" t="s">
        <v>42</v>
      </c>
      <c r="T927" s="1" t="s">
        <v>153</v>
      </c>
      <c r="V927" s="5">
        <v>44225</v>
      </c>
      <c r="W927" s="5">
        <v>41976</v>
      </c>
      <c r="X927" s="1">
        <v>5950000</v>
      </c>
      <c r="Y927" s="1">
        <v>5950000</v>
      </c>
      <c r="Z927" s="5">
        <v>41976</v>
      </c>
      <c r="AA927" s="1">
        <v>6058587</v>
      </c>
      <c r="AB927" s="1" t="s">
        <v>177</v>
      </c>
      <c r="AC927" s="5">
        <v>42195</v>
      </c>
      <c r="AF927" s="1">
        <v>10013</v>
      </c>
      <c r="AI927" s="1" t="s">
        <v>66</v>
      </c>
      <c r="AJ927" s="1">
        <v>2015</v>
      </c>
      <c r="AK927" s="1" t="s">
        <v>49</v>
      </c>
      <c r="AL927" s="1">
        <v>33</v>
      </c>
    </row>
    <row r="928" spans="1:38" x14ac:dyDescent="0.2">
      <c r="A928" s="2" t="str">
        <f>HYPERLINK("https://www.compass.com/listing/71-laight-street-unit-5b-manhattan-ny-10013/70917286529135617/","71 Laight St, Unit 5B")</f>
        <v>71 Laight St, Unit 5B</v>
      </c>
      <c r="B928" s="2" t="str">
        <f t="shared" si="134"/>
        <v>The Sterling Mason</v>
      </c>
      <c r="C928" s="1" t="s">
        <v>65</v>
      </c>
      <c r="D928" s="1" t="s">
        <v>41</v>
      </c>
      <c r="E928" s="3">
        <v>6004294</v>
      </c>
      <c r="F928" s="1">
        <v>2707.07574391343</v>
      </c>
      <c r="G928" s="1">
        <v>9</v>
      </c>
      <c r="H928" s="1">
        <v>3</v>
      </c>
      <c r="I928" s="1">
        <v>4</v>
      </c>
      <c r="J928" s="1">
        <v>3.5</v>
      </c>
      <c r="M928" s="4">
        <v>2218</v>
      </c>
      <c r="N928" s="1">
        <v>3583</v>
      </c>
      <c r="O928" s="1">
        <v>4955</v>
      </c>
      <c r="P928" s="1">
        <v>1372</v>
      </c>
      <c r="Q928" s="1" t="s">
        <v>42</v>
      </c>
      <c r="S928" s="1" t="s">
        <v>42</v>
      </c>
      <c r="T928" s="1" t="s">
        <v>153</v>
      </c>
      <c r="V928" s="5">
        <v>44209</v>
      </c>
      <c r="W928" s="5">
        <v>41976</v>
      </c>
      <c r="X928" s="1">
        <v>5950000</v>
      </c>
      <c r="Y928" s="1">
        <v>5950000</v>
      </c>
      <c r="Z928" s="5">
        <v>41976</v>
      </c>
      <c r="AA928" s="1">
        <v>6004294</v>
      </c>
      <c r="AB928" s="1" t="s">
        <v>771</v>
      </c>
      <c r="AC928" s="5">
        <v>42348</v>
      </c>
      <c r="AF928" s="1">
        <v>10013</v>
      </c>
      <c r="AI928" s="1" t="s">
        <v>66</v>
      </c>
      <c r="AJ928" s="1">
        <v>2015</v>
      </c>
      <c r="AK928" s="1" t="s">
        <v>49</v>
      </c>
      <c r="AL928" s="1">
        <v>33</v>
      </c>
    </row>
    <row r="929" spans="1:38" x14ac:dyDescent="0.2">
      <c r="A929" s="2" t="str">
        <f>HYPERLINK("https://www.compass.com/listing/71-laight-street-unit-6e-manhattan-ny-10013/4852322035436626385/","71 Laight St, Unit 6E")</f>
        <v>71 Laight St, Unit 6E</v>
      </c>
      <c r="B929" s="2" t="str">
        <f t="shared" si="134"/>
        <v>The Sterling Mason</v>
      </c>
      <c r="C929" s="1" t="s">
        <v>65</v>
      </c>
      <c r="D929" s="1" t="s">
        <v>41</v>
      </c>
      <c r="E929" s="3">
        <v>4584875</v>
      </c>
      <c r="F929" s="1">
        <v>2824.93838570548</v>
      </c>
      <c r="G929" s="1">
        <v>4</v>
      </c>
      <c r="H929" s="1">
        <v>2</v>
      </c>
      <c r="I929" s="1">
        <v>3</v>
      </c>
      <c r="J929" s="1">
        <v>2.5</v>
      </c>
      <c r="M929" s="4">
        <v>1623</v>
      </c>
      <c r="N929" s="1">
        <v>2806</v>
      </c>
      <c r="O929" s="1">
        <v>4626</v>
      </c>
      <c r="P929" s="1">
        <v>1820</v>
      </c>
      <c r="Q929" s="1" t="s">
        <v>42</v>
      </c>
      <c r="S929" s="1" t="s">
        <v>42</v>
      </c>
      <c r="T929" s="1" t="s">
        <v>153</v>
      </c>
      <c r="U929" s="1">
        <v>40</v>
      </c>
      <c r="V929" s="5">
        <v>44209</v>
      </c>
      <c r="W929" s="5">
        <v>42280</v>
      </c>
      <c r="X929" s="1">
        <v>4500000</v>
      </c>
      <c r="Y929" s="1">
        <v>4500000</v>
      </c>
      <c r="Z929" s="5">
        <v>42320</v>
      </c>
      <c r="AA929" s="1">
        <v>4584875</v>
      </c>
      <c r="AB929" s="1" t="s">
        <v>177</v>
      </c>
      <c r="AC929" s="5">
        <v>42532</v>
      </c>
      <c r="AF929" s="1">
        <v>10013</v>
      </c>
      <c r="AI929" s="1" t="s">
        <v>66</v>
      </c>
      <c r="AJ929" s="1">
        <v>2015</v>
      </c>
      <c r="AK929" s="1" t="s">
        <v>49</v>
      </c>
      <c r="AL929" s="1">
        <v>33</v>
      </c>
    </row>
    <row r="930" spans="1:38" x14ac:dyDescent="0.2">
      <c r="A930" s="2" t="str">
        <f>HYPERLINK("https://www.compass.com/listing/101-leonard-street-unit-5e-manhattan-ny-10013/4852324454778283025/","101 Leonard St, Unit 5E")</f>
        <v>101 Leonard St, Unit 5E</v>
      </c>
      <c r="B930" s="2" t="str">
        <f t="shared" ref="B930:B936" si="135">HYPERLINK("https://www.compass.com/building/the-leonard-manhattan-ny/281919139939910965/","The Leonard")</f>
        <v>The Leonard</v>
      </c>
      <c r="C930" s="1" t="s">
        <v>65</v>
      </c>
      <c r="D930" s="1" t="s">
        <v>41</v>
      </c>
      <c r="E930" s="3">
        <v>3171848</v>
      </c>
      <c r="F930" s="1">
        <v>1615.8166072338199</v>
      </c>
      <c r="G930" s="1">
        <v>5</v>
      </c>
      <c r="H930" s="1">
        <v>3</v>
      </c>
      <c r="I930" s="1">
        <v>3</v>
      </c>
      <c r="J930" s="1">
        <v>3</v>
      </c>
      <c r="K930" s="1">
        <v>3</v>
      </c>
      <c r="M930" s="4">
        <v>1963</v>
      </c>
      <c r="N930" s="1">
        <v>2163</v>
      </c>
      <c r="O930" s="1">
        <v>4312</v>
      </c>
      <c r="P930" s="1">
        <v>2149</v>
      </c>
      <c r="Q930" s="1" t="s">
        <v>42</v>
      </c>
      <c r="S930" s="1" t="s">
        <v>42</v>
      </c>
      <c r="T930" s="1" t="s">
        <v>153</v>
      </c>
      <c r="V930" s="5">
        <v>44245</v>
      </c>
      <c r="W930" s="5">
        <v>41976</v>
      </c>
      <c r="X930" s="1">
        <v>3115000</v>
      </c>
      <c r="Y930" s="1">
        <v>3115000</v>
      </c>
      <c r="Z930" s="5">
        <v>41976</v>
      </c>
      <c r="AA930" s="1">
        <v>3171848</v>
      </c>
      <c r="AB930" s="1" t="s">
        <v>772</v>
      </c>
      <c r="AC930" s="5">
        <v>42076</v>
      </c>
      <c r="AF930" s="1">
        <v>10013</v>
      </c>
      <c r="AI930" s="1" t="s">
        <v>55</v>
      </c>
      <c r="AJ930" s="1">
        <v>2014</v>
      </c>
      <c r="AK930" s="1" t="s">
        <v>46</v>
      </c>
      <c r="AL930" s="1">
        <v>66</v>
      </c>
    </row>
    <row r="931" spans="1:38" x14ac:dyDescent="0.2">
      <c r="A931" s="2" t="str">
        <f>HYPERLINK("https://www.compass.com/listing/101-leonard-street-unit-pha-manhattan-ny-10013/167796760767405697/","101 Leonard St, Unit PHA")</f>
        <v>101 Leonard St, Unit PHA</v>
      </c>
      <c r="B931" s="2" t="str">
        <f t="shared" si="135"/>
        <v>The Leonard</v>
      </c>
      <c r="C931" s="1" t="s">
        <v>65</v>
      </c>
      <c r="D931" s="1" t="s">
        <v>41</v>
      </c>
      <c r="E931" s="3">
        <v>6109500</v>
      </c>
      <c r="F931" s="1">
        <v>2153.5072259428898</v>
      </c>
      <c r="G931" s="1">
        <v>10</v>
      </c>
      <c r="H931" s="1">
        <v>4</v>
      </c>
      <c r="I931" s="1">
        <v>5</v>
      </c>
      <c r="J931" s="1">
        <v>4.5</v>
      </c>
      <c r="M931" s="4">
        <v>2837</v>
      </c>
      <c r="N931" s="1">
        <v>3452</v>
      </c>
      <c r="O931" s="1">
        <v>6882</v>
      </c>
      <c r="P931" s="1">
        <v>3430</v>
      </c>
      <c r="Q931" s="1" t="s">
        <v>42</v>
      </c>
      <c r="S931" s="1" t="s">
        <v>42</v>
      </c>
      <c r="T931" s="1" t="s">
        <v>153</v>
      </c>
      <c r="U931" s="1">
        <v>112</v>
      </c>
      <c r="V931" s="5">
        <v>43726</v>
      </c>
      <c r="W931" s="5">
        <v>41503</v>
      </c>
      <c r="X931" s="1">
        <v>6000000</v>
      </c>
      <c r="Y931" s="1">
        <v>6000000</v>
      </c>
      <c r="Z931" s="5">
        <v>41647</v>
      </c>
      <c r="AA931" s="1">
        <v>6109500</v>
      </c>
      <c r="AB931" s="1" t="s">
        <v>44</v>
      </c>
      <c r="AC931" s="5">
        <v>41961</v>
      </c>
      <c r="AF931" s="1">
        <v>10013</v>
      </c>
      <c r="AI931" s="1" t="s">
        <v>773</v>
      </c>
      <c r="AJ931" s="1">
        <v>2014</v>
      </c>
      <c r="AK931" s="1" t="s">
        <v>46</v>
      </c>
      <c r="AL931" s="1">
        <v>66</v>
      </c>
    </row>
    <row r="932" spans="1:38" x14ac:dyDescent="0.2">
      <c r="A932" s="2" t="str">
        <f>HYPERLINK("https://www.compass.com/listing/101-leonard-street-unit-11b-manhattan-ny-10013/29513605678412161/","101 Leonard St, Unit 11B")</f>
        <v>101 Leonard St, Unit 11B</v>
      </c>
      <c r="B932" s="2" t="str">
        <f t="shared" si="135"/>
        <v>The Leonard</v>
      </c>
      <c r="C932" s="1" t="s">
        <v>65</v>
      </c>
      <c r="D932" s="1" t="s">
        <v>41</v>
      </c>
      <c r="E932" s="3">
        <v>3462050</v>
      </c>
      <c r="F932" s="1">
        <v>1907.4655647382899</v>
      </c>
      <c r="G932" s="1">
        <v>7</v>
      </c>
      <c r="H932" s="1">
        <v>3</v>
      </c>
      <c r="I932" s="1">
        <v>3</v>
      </c>
      <c r="J932" s="1">
        <v>3</v>
      </c>
      <c r="M932" s="4">
        <v>1815</v>
      </c>
      <c r="N932" s="1">
        <v>2059</v>
      </c>
      <c r="O932" s="1">
        <v>4104</v>
      </c>
      <c r="P932" s="1">
        <v>2045</v>
      </c>
      <c r="Q932" s="1" t="s">
        <v>42</v>
      </c>
      <c r="S932" s="1" t="s">
        <v>42</v>
      </c>
      <c r="T932" s="1" t="s">
        <v>153</v>
      </c>
      <c r="U932" s="1">
        <v>22</v>
      </c>
      <c r="V932" s="5">
        <v>43626</v>
      </c>
      <c r="W932" s="5">
        <v>41473</v>
      </c>
      <c r="X932" s="1">
        <v>3400000</v>
      </c>
      <c r="Y932" s="1">
        <v>3400000</v>
      </c>
      <c r="Z932" s="5">
        <v>41495</v>
      </c>
      <c r="AA932" s="1">
        <v>3462050</v>
      </c>
      <c r="AB932" s="1" t="s">
        <v>774</v>
      </c>
      <c r="AC932" s="5">
        <v>41976</v>
      </c>
      <c r="AF932" s="1">
        <v>10013</v>
      </c>
      <c r="AI932" s="1" t="s">
        <v>55</v>
      </c>
      <c r="AJ932" s="1">
        <v>2014</v>
      </c>
      <c r="AK932" s="1" t="s">
        <v>46</v>
      </c>
      <c r="AL932" s="1">
        <v>66</v>
      </c>
    </row>
    <row r="933" spans="1:38" x14ac:dyDescent="0.2">
      <c r="A933" s="2" t="str">
        <f>HYPERLINK("https://www.compass.com/listing/101-leonard-street-unit-4b-manhattan-ny-10013/4852305673423172881/","101 Leonard St, Unit 4B")</f>
        <v>101 Leonard St, Unit 4B</v>
      </c>
      <c r="B933" s="2" t="str">
        <f t="shared" si="135"/>
        <v>The Leonard</v>
      </c>
      <c r="C933" s="1" t="s">
        <v>65</v>
      </c>
      <c r="D933" s="1" t="s">
        <v>41</v>
      </c>
      <c r="E933" s="3">
        <v>3075000</v>
      </c>
      <c r="F933" s="1">
        <v>1694.2148760330499</v>
      </c>
      <c r="G933" s="1">
        <v>8</v>
      </c>
      <c r="H933" s="1">
        <v>3</v>
      </c>
      <c r="I933" s="1">
        <v>3</v>
      </c>
      <c r="J933" s="1">
        <v>3</v>
      </c>
      <c r="M933" s="4">
        <v>1815</v>
      </c>
      <c r="N933" s="1">
        <v>1990</v>
      </c>
      <c r="O933" s="1">
        <v>3967</v>
      </c>
      <c r="P933" s="1">
        <v>1977</v>
      </c>
      <c r="Q933" s="1" t="s">
        <v>42</v>
      </c>
      <c r="S933" s="1" t="s">
        <v>42</v>
      </c>
      <c r="T933" s="1" t="s">
        <v>153</v>
      </c>
      <c r="V933" s="5">
        <v>43654</v>
      </c>
      <c r="W933" s="5">
        <v>41488</v>
      </c>
      <c r="X933" s="1">
        <v>3075000</v>
      </c>
      <c r="Y933" s="1">
        <v>3075000</v>
      </c>
      <c r="Z933" s="5">
        <v>41488</v>
      </c>
      <c r="AA933" s="1">
        <v>3075000</v>
      </c>
      <c r="AB933" s="1" t="s">
        <v>775</v>
      </c>
      <c r="AC933" s="5">
        <v>41962</v>
      </c>
      <c r="AF933" s="1">
        <v>10013</v>
      </c>
      <c r="AI933" s="1" t="s">
        <v>55</v>
      </c>
      <c r="AJ933" s="1">
        <v>2014</v>
      </c>
      <c r="AK933" s="1" t="s">
        <v>49</v>
      </c>
      <c r="AL933" s="1">
        <v>66</v>
      </c>
    </row>
    <row r="934" spans="1:38" x14ac:dyDescent="0.2">
      <c r="A934" s="2" t="str">
        <f>HYPERLINK("https://www.compass.com/listing/101-leonard-street-unit-5b-manhattan-ny-10013/4852329772451110881/","101 Leonard St, Unit 5B")</f>
        <v>101 Leonard St, Unit 5B</v>
      </c>
      <c r="B934" s="2" t="str">
        <f t="shared" si="135"/>
        <v>The Leonard</v>
      </c>
      <c r="C934" s="1" t="s">
        <v>65</v>
      </c>
      <c r="D934" s="1" t="s">
        <v>41</v>
      </c>
      <c r="E934" s="3">
        <v>3156575</v>
      </c>
      <c r="F934" s="1">
        <v>1739.1597796143201</v>
      </c>
      <c r="G934" s="1">
        <v>8</v>
      </c>
      <c r="H934" s="1">
        <v>3</v>
      </c>
      <c r="I934" s="1">
        <v>3</v>
      </c>
      <c r="J934" s="1">
        <v>3</v>
      </c>
      <c r="M934" s="4">
        <v>1815</v>
      </c>
      <c r="N934" s="1">
        <v>2000</v>
      </c>
      <c r="O934" s="1">
        <v>3987</v>
      </c>
      <c r="P934" s="1">
        <v>1987</v>
      </c>
      <c r="Q934" s="1" t="s">
        <v>42</v>
      </c>
      <c r="S934" s="1" t="s">
        <v>42</v>
      </c>
      <c r="T934" s="1" t="s">
        <v>153</v>
      </c>
      <c r="V934" s="5">
        <v>43630</v>
      </c>
      <c r="W934" s="5">
        <v>41488</v>
      </c>
      <c r="X934" s="1">
        <v>3100000</v>
      </c>
      <c r="Y934" s="1">
        <v>3100000</v>
      </c>
      <c r="Z934" s="5">
        <v>41488</v>
      </c>
      <c r="AA934" s="1">
        <v>3156575</v>
      </c>
      <c r="AB934" s="1" t="s">
        <v>776</v>
      </c>
      <c r="AC934" s="5">
        <v>41961</v>
      </c>
      <c r="AF934" s="1">
        <v>10013</v>
      </c>
      <c r="AI934" s="1" t="s">
        <v>55</v>
      </c>
      <c r="AJ934" s="1">
        <v>2014</v>
      </c>
      <c r="AK934" s="1" t="s">
        <v>49</v>
      </c>
      <c r="AL934" s="1">
        <v>66</v>
      </c>
    </row>
    <row r="935" spans="1:38" x14ac:dyDescent="0.2">
      <c r="A935" s="2" t="str">
        <f>HYPERLINK("https://www.compass.com/listing/101-leonard-street-unit-6e-manhattan-ny-10013/4852330171950174641/","101 Leonard St, Unit 6E")</f>
        <v>101 Leonard St, Unit 6E</v>
      </c>
      <c r="B935" s="2" t="str">
        <f t="shared" si="135"/>
        <v>The Leonard</v>
      </c>
      <c r="C935" s="1" t="s">
        <v>65</v>
      </c>
      <c r="D935" s="1" t="s">
        <v>41</v>
      </c>
      <c r="E935" s="3">
        <v>3045000</v>
      </c>
      <c r="F935" s="1">
        <v>1551.1971472236301</v>
      </c>
      <c r="G935" s="1">
        <v>7</v>
      </c>
      <c r="H935" s="1">
        <v>3</v>
      </c>
      <c r="I935" s="1">
        <v>3</v>
      </c>
      <c r="J935" s="1">
        <v>3</v>
      </c>
      <c r="M935" s="4">
        <v>1963</v>
      </c>
      <c r="N935" s="1">
        <v>2174</v>
      </c>
      <c r="O935" s="1">
        <v>4333</v>
      </c>
      <c r="P935" s="1">
        <v>2159</v>
      </c>
      <c r="Q935" s="1" t="s">
        <v>42</v>
      </c>
      <c r="S935" s="1" t="s">
        <v>42</v>
      </c>
      <c r="T935" s="1" t="s">
        <v>153</v>
      </c>
      <c r="U935" s="1">
        <v>13</v>
      </c>
      <c r="V935" s="5">
        <v>43654</v>
      </c>
      <c r="W935" s="5">
        <v>41488</v>
      </c>
      <c r="X935" s="1">
        <v>3045000</v>
      </c>
      <c r="Y935" s="1">
        <v>3045000</v>
      </c>
      <c r="Z935" s="5">
        <v>41501</v>
      </c>
      <c r="AA935" s="1">
        <v>3045000</v>
      </c>
      <c r="AB935" s="1" t="s">
        <v>777</v>
      </c>
      <c r="AC935" s="5">
        <v>41962</v>
      </c>
      <c r="AF935" s="1">
        <v>10013</v>
      </c>
      <c r="AI935" s="1" t="s">
        <v>55</v>
      </c>
      <c r="AJ935" s="1">
        <v>2014</v>
      </c>
      <c r="AK935" s="1" t="s">
        <v>49</v>
      </c>
      <c r="AL935" s="1">
        <v>66</v>
      </c>
    </row>
    <row r="936" spans="1:38" x14ac:dyDescent="0.2">
      <c r="A936" s="2" t="str">
        <f>HYPERLINK("https://www.compass.com/listing/101-leonard-street-unit-6b-manhattan-ny-10013/29358429759993761/","101 Leonard St, Unit 6B")</f>
        <v>101 Leonard St, Unit 6B</v>
      </c>
      <c r="B936" s="2" t="str">
        <f t="shared" si="135"/>
        <v>The Leonard</v>
      </c>
      <c r="C936" s="1" t="s">
        <v>65</v>
      </c>
      <c r="D936" s="1" t="s">
        <v>41</v>
      </c>
      <c r="E936" s="3">
        <v>2775000</v>
      </c>
      <c r="F936" s="1">
        <v>1528.92561983471</v>
      </c>
      <c r="G936" s="1">
        <v>7</v>
      </c>
      <c r="H936" s="1">
        <v>3</v>
      </c>
      <c r="I936" s="1">
        <v>4</v>
      </c>
      <c r="J936" s="1">
        <v>3.5</v>
      </c>
      <c r="K936" s="1">
        <v>3</v>
      </c>
      <c r="L936" s="1">
        <v>1</v>
      </c>
      <c r="M936" s="4">
        <v>1815</v>
      </c>
      <c r="N936" s="1">
        <v>2139.0500000000002</v>
      </c>
      <c r="O936" s="1">
        <v>5196.1899999999996</v>
      </c>
      <c r="P936" s="1">
        <v>3057.1666666666601</v>
      </c>
      <c r="Q936" s="1" t="s">
        <v>42</v>
      </c>
      <c r="S936" s="1" t="s">
        <v>42</v>
      </c>
      <c r="T936" s="1" t="s">
        <v>153</v>
      </c>
      <c r="U936" s="1">
        <v>203</v>
      </c>
      <c r="V936" s="5">
        <v>43808</v>
      </c>
      <c r="W936" s="5">
        <v>42906</v>
      </c>
      <c r="X936" s="1">
        <v>2750000</v>
      </c>
      <c r="Y936" s="1">
        <v>2750000</v>
      </c>
      <c r="Z936" s="5">
        <v>43109</v>
      </c>
      <c r="AA936" s="1">
        <v>2775000</v>
      </c>
      <c r="AB936" s="1" t="s">
        <v>778</v>
      </c>
      <c r="AC936" s="5">
        <v>43146</v>
      </c>
      <c r="AF936" s="1">
        <v>10013</v>
      </c>
      <c r="AI936" s="1" t="s">
        <v>87</v>
      </c>
      <c r="AJ936" s="1">
        <v>2014</v>
      </c>
      <c r="AK936" s="1" t="s">
        <v>49</v>
      </c>
      <c r="AL936" s="1">
        <v>66</v>
      </c>
    </row>
    <row r="937" spans="1:38" x14ac:dyDescent="0.2">
      <c r="A937" s="2" t="str">
        <f>HYPERLINK("https://www.compass.com/listing/39-lispenard-street-unit-2-manhattan-ny-10013/29510515759816257/","39 Lispenard St, Unit 2")</f>
        <v>39 Lispenard St, Unit 2</v>
      </c>
      <c r="B937" s="2" t="str">
        <f>HYPERLINK("https://www.compass.com/building/39-lispenard-st-manhattan-ny-10013/292816461573955557/","39 Lispenard St")</f>
        <v>39 Lispenard St</v>
      </c>
      <c r="C937" s="1" t="s">
        <v>65</v>
      </c>
      <c r="D937" s="1" t="s">
        <v>41</v>
      </c>
      <c r="E937" s="3">
        <v>6000000</v>
      </c>
      <c r="F937" s="1">
        <v>1137.22517058377</v>
      </c>
      <c r="G937" s="1">
        <v>7</v>
      </c>
      <c r="H937" s="1">
        <v>4</v>
      </c>
      <c r="I937" s="1">
        <v>3</v>
      </c>
      <c r="J937" s="1">
        <v>2.5</v>
      </c>
      <c r="K937" s="1">
        <v>2</v>
      </c>
      <c r="L937" s="1">
        <v>1</v>
      </c>
      <c r="M937" s="4">
        <v>5276</v>
      </c>
      <c r="N937" s="1">
        <v>1452</v>
      </c>
      <c r="O937" s="1">
        <v>6972</v>
      </c>
      <c r="P937" s="1">
        <v>5520</v>
      </c>
      <c r="Q937" s="1" t="s">
        <v>42</v>
      </c>
      <c r="S937" s="1" t="s">
        <v>42</v>
      </c>
      <c r="T937" s="1" t="s">
        <v>153</v>
      </c>
      <c r="U937" s="1">
        <v>395</v>
      </c>
      <c r="V937" s="5">
        <v>43858</v>
      </c>
      <c r="W937" s="5">
        <v>43266</v>
      </c>
      <c r="X937" s="1">
        <v>6498000</v>
      </c>
      <c r="Y937" s="1">
        <v>6498000</v>
      </c>
      <c r="Z937" s="5">
        <v>43793</v>
      </c>
      <c r="AA937" s="1">
        <v>6000000</v>
      </c>
      <c r="AB937" s="1" t="s">
        <v>779</v>
      </c>
      <c r="AC937" s="5">
        <v>43846</v>
      </c>
      <c r="AF937" s="1">
        <v>10013</v>
      </c>
      <c r="AJ937" s="1">
        <v>1910</v>
      </c>
      <c r="AL937" s="1">
        <v>6</v>
      </c>
    </row>
    <row r="938" spans="1:38" x14ac:dyDescent="0.2">
      <c r="A938" s="2" t="str">
        <f>HYPERLINK("https://www.compass.com/listing/71-laight-street-unit-5d-manhattan-ny-10013/4852322863786495457/","71 Laight St, Unit 5D")</f>
        <v>71 Laight St, Unit 5D</v>
      </c>
      <c r="B938" s="2" t="str">
        <f>HYPERLINK("https://www.compass.com/building/the-sterling-mason-manhattan-ny/281919618778432805/","The Sterling Mason")</f>
        <v>The Sterling Mason</v>
      </c>
      <c r="C938" s="1" t="s">
        <v>65</v>
      </c>
      <c r="D938" s="1" t="s">
        <v>41</v>
      </c>
      <c r="E938" s="3">
        <v>8960600</v>
      </c>
      <c r="F938" s="1">
        <v>2763.05889608387</v>
      </c>
      <c r="G938" s="1">
        <v>12</v>
      </c>
      <c r="H938" s="1">
        <v>4</v>
      </c>
      <c r="I938" s="1">
        <v>5</v>
      </c>
      <c r="J938" s="1">
        <v>4.5</v>
      </c>
      <c r="M938" s="4">
        <v>3243</v>
      </c>
      <c r="N938" s="1">
        <v>5239</v>
      </c>
      <c r="O938" s="1">
        <v>7245</v>
      </c>
      <c r="P938" s="1">
        <v>2006</v>
      </c>
      <c r="Q938" s="1" t="s">
        <v>42</v>
      </c>
      <c r="S938" s="1" t="s">
        <v>42</v>
      </c>
      <c r="T938" s="1" t="s">
        <v>153</v>
      </c>
      <c r="V938" s="5">
        <v>44209</v>
      </c>
      <c r="W938" s="5">
        <v>41976</v>
      </c>
      <c r="X938" s="1">
        <v>8800000</v>
      </c>
      <c r="Y938" s="1">
        <v>8800000</v>
      </c>
      <c r="Z938" s="5">
        <v>41976</v>
      </c>
      <c r="AA938" s="1">
        <v>8960600</v>
      </c>
      <c r="AB938" s="1" t="s">
        <v>177</v>
      </c>
      <c r="AC938" s="5">
        <v>42291</v>
      </c>
      <c r="AF938" s="1">
        <v>10013</v>
      </c>
      <c r="AI938" s="1" t="s">
        <v>66</v>
      </c>
      <c r="AJ938" s="1">
        <v>2015</v>
      </c>
      <c r="AK938" s="1" t="s">
        <v>49</v>
      </c>
      <c r="AL938" s="1">
        <v>33</v>
      </c>
    </row>
    <row r="939" spans="1:38" x14ac:dyDescent="0.2">
      <c r="A939" s="2" t="str">
        <f>HYPERLINK("https://www.compass.com/listing/101-leonard-street-unit-10b-manhattan-ny-10013/237569515913746033/","101 Leonard St, Unit 10B")</f>
        <v>101 Leonard St, Unit 10B</v>
      </c>
      <c r="B939" s="2" t="str">
        <f>HYPERLINK("https://www.compass.com/building/the-leonard-manhattan-ny/281919139939910965/","The Leonard")</f>
        <v>The Leonard</v>
      </c>
      <c r="C939" s="1" t="s">
        <v>65</v>
      </c>
      <c r="D939" s="1" t="s">
        <v>41</v>
      </c>
      <c r="E939" s="3">
        <v>3020000</v>
      </c>
      <c r="F939" s="1">
        <v>1663.9118457300201</v>
      </c>
      <c r="G939" s="1">
        <v>5</v>
      </c>
      <c r="H939" s="1">
        <v>3</v>
      </c>
      <c r="I939" s="1">
        <v>4</v>
      </c>
      <c r="J939" s="1">
        <v>3.5</v>
      </c>
      <c r="K939" s="1">
        <v>3</v>
      </c>
      <c r="L939" s="1">
        <v>1</v>
      </c>
      <c r="M939" s="4">
        <v>1815</v>
      </c>
      <c r="N939" s="1">
        <v>2437</v>
      </c>
      <c r="O939" s="1">
        <v>5484</v>
      </c>
      <c r="P939" s="1">
        <v>3047</v>
      </c>
      <c r="Q939" s="1" t="s">
        <v>42</v>
      </c>
      <c r="S939" s="1" t="s">
        <v>42</v>
      </c>
      <c r="T939" s="1" t="s">
        <v>153</v>
      </c>
      <c r="U939" s="1">
        <v>50</v>
      </c>
      <c r="V939" s="5">
        <v>44057</v>
      </c>
      <c r="W939" s="5">
        <v>43579</v>
      </c>
      <c r="X939" s="1">
        <v>3050000</v>
      </c>
      <c r="Y939" s="1">
        <v>3050000</v>
      </c>
      <c r="AA939" s="1">
        <v>3020000</v>
      </c>
      <c r="AB939" s="1" t="s">
        <v>177</v>
      </c>
      <c r="AC939" s="5">
        <v>43629</v>
      </c>
      <c r="AF939" s="1">
        <v>10013</v>
      </c>
      <c r="AI939" s="1" t="s">
        <v>87</v>
      </c>
      <c r="AJ939" s="1">
        <v>2014</v>
      </c>
      <c r="AK939" s="1" t="s">
        <v>49</v>
      </c>
      <c r="AL939" s="1">
        <v>66</v>
      </c>
    </row>
    <row r="940" spans="1:38" x14ac:dyDescent="0.2">
      <c r="A940" s="2" t="str">
        <f>HYPERLINK("https://www.compass.com/listing/71-laight-street-unit-5a-manhattan-ny-10013/29359349268764097/","71 Laight St, Unit 5A")</f>
        <v>71 Laight St, Unit 5A</v>
      </c>
      <c r="B940" s="2" t="str">
        <f t="shared" ref="B940:B941" si="136">HYPERLINK("https://www.compass.com/building/the-sterling-mason-manhattan-ny/281919618778432805/","The Sterling Mason")</f>
        <v>The Sterling Mason</v>
      </c>
      <c r="C940" s="1" t="s">
        <v>65</v>
      </c>
      <c r="D940" s="1" t="s">
        <v>41</v>
      </c>
      <c r="E940" s="3">
        <v>4276650</v>
      </c>
      <c r="F940" s="1">
        <v>2094.3437806072402</v>
      </c>
      <c r="G940" s="1">
        <v>3</v>
      </c>
      <c r="H940" s="1">
        <v>2</v>
      </c>
      <c r="I940" s="1">
        <v>3</v>
      </c>
      <c r="J940" s="1">
        <v>2.5</v>
      </c>
      <c r="M940" s="4">
        <v>2042</v>
      </c>
      <c r="N940" s="1">
        <v>3299</v>
      </c>
      <c r="O940" s="1">
        <v>4562</v>
      </c>
      <c r="P940" s="1">
        <v>1263</v>
      </c>
      <c r="Q940" s="1" t="s">
        <v>42</v>
      </c>
      <c r="S940" s="1" t="s">
        <v>42</v>
      </c>
      <c r="T940" s="1" t="s">
        <v>153</v>
      </c>
      <c r="V940" s="5">
        <v>44209</v>
      </c>
      <c r="W940" s="5">
        <v>41976</v>
      </c>
      <c r="X940" s="1">
        <v>4200000</v>
      </c>
      <c r="Y940" s="1">
        <v>4200000</v>
      </c>
      <c r="Z940" s="5">
        <v>41976</v>
      </c>
      <c r="AA940" s="1">
        <v>4276650</v>
      </c>
      <c r="AB940" s="1" t="s">
        <v>780</v>
      </c>
      <c r="AC940" s="5">
        <v>42340</v>
      </c>
      <c r="AF940" s="1">
        <v>10013</v>
      </c>
      <c r="AI940" s="1" t="s">
        <v>66</v>
      </c>
      <c r="AJ940" s="1">
        <v>2015</v>
      </c>
      <c r="AK940" s="1" t="s">
        <v>49</v>
      </c>
      <c r="AL940" s="1">
        <v>33</v>
      </c>
    </row>
    <row r="941" spans="1:38" x14ac:dyDescent="0.2">
      <c r="A941" s="2" t="str">
        <f>HYPERLINK("https://www.compass.com/listing/71-laight-street-unit-2a-manhattan-ny-10013/29359345519093073/","71 Laight St, Unit 2A")</f>
        <v>71 Laight St, Unit 2A</v>
      </c>
      <c r="B941" s="2" t="str">
        <f t="shared" si="136"/>
        <v>The Sterling Mason</v>
      </c>
      <c r="C941" s="1" t="s">
        <v>65</v>
      </c>
      <c r="D941" s="1" t="s">
        <v>41</v>
      </c>
      <c r="E941" s="3">
        <v>3900000</v>
      </c>
      <c r="F941" s="1">
        <v>1909.89226248775</v>
      </c>
      <c r="G941" s="1">
        <v>7</v>
      </c>
      <c r="H941" s="1">
        <v>2</v>
      </c>
      <c r="I941" s="1">
        <v>3</v>
      </c>
      <c r="J941" s="1">
        <v>2.5</v>
      </c>
      <c r="K941" s="1">
        <v>2</v>
      </c>
      <c r="L941" s="1">
        <v>1</v>
      </c>
      <c r="M941" s="4">
        <v>2042</v>
      </c>
      <c r="N941" s="1">
        <v>3250</v>
      </c>
      <c r="O941" s="1">
        <v>4494</v>
      </c>
      <c r="P941" s="1">
        <v>1244</v>
      </c>
      <c r="Q941" s="1" t="s">
        <v>42</v>
      </c>
      <c r="S941" s="1" t="s">
        <v>42</v>
      </c>
      <c r="T941" s="1" t="s">
        <v>153</v>
      </c>
      <c r="V941" s="5">
        <v>44225</v>
      </c>
      <c r="W941" s="5">
        <v>41976</v>
      </c>
      <c r="X941" s="1">
        <v>3995000</v>
      </c>
      <c r="Y941" s="1">
        <v>3995000</v>
      </c>
      <c r="Z941" s="5">
        <v>41976</v>
      </c>
      <c r="AA941" s="1">
        <v>3900000</v>
      </c>
      <c r="AB941" s="1" t="s">
        <v>781</v>
      </c>
      <c r="AC941" s="5">
        <v>42263</v>
      </c>
      <c r="AF941" s="1">
        <v>10013</v>
      </c>
      <c r="AI941" s="1" t="s">
        <v>66</v>
      </c>
      <c r="AJ941" s="1">
        <v>2015</v>
      </c>
      <c r="AK941" s="1" t="s">
        <v>49</v>
      </c>
      <c r="AL941" s="1">
        <v>33</v>
      </c>
    </row>
    <row r="942" spans="1:38" x14ac:dyDescent="0.2">
      <c r="A942" s="2" t="str">
        <f>HYPERLINK("https://www.compass.com/listing/101-leonard-street-unit-2f-manhattan-ny-10013/29358426446493537/","101 Leonard St, Unit 2F")</f>
        <v>101 Leonard St, Unit 2F</v>
      </c>
      <c r="B942" s="2" t="str">
        <f t="shared" ref="B942:B950" si="137">HYPERLINK("https://www.compass.com/building/the-leonard-manhattan-ny/281919139939910965/","The Leonard")</f>
        <v>The Leonard</v>
      </c>
      <c r="C942" s="1" t="s">
        <v>65</v>
      </c>
      <c r="D942" s="1" t="s">
        <v>41</v>
      </c>
      <c r="E942" s="3">
        <v>1883763</v>
      </c>
      <c r="F942" s="1">
        <v>1477.4611764705801</v>
      </c>
      <c r="G942" s="1">
        <v>5</v>
      </c>
      <c r="H942" s="1">
        <v>2</v>
      </c>
      <c r="I942" s="1">
        <v>2</v>
      </c>
      <c r="J942" s="1">
        <v>2</v>
      </c>
      <c r="M942" s="4">
        <v>1275</v>
      </c>
      <c r="N942" s="1">
        <v>1384</v>
      </c>
      <c r="O942" s="1">
        <v>2759</v>
      </c>
      <c r="P942" s="1">
        <v>1375</v>
      </c>
      <c r="Q942" s="1" t="s">
        <v>42</v>
      </c>
      <c r="S942" s="1" t="s">
        <v>42</v>
      </c>
      <c r="T942" s="1" t="s">
        <v>153</v>
      </c>
      <c r="V942" s="5">
        <v>43626</v>
      </c>
      <c r="W942" s="5">
        <v>41976</v>
      </c>
      <c r="X942" s="1">
        <v>1850000</v>
      </c>
      <c r="Y942" s="1">
        <v>1850000</v>
      </c>
      <c r="Z942" s="5">
        <v>41976</v>
      </c>
      <c r="AA942" s="1">
        <v>1883763</v>
      </c>
      <c r="AB942" s="1" t="s">
        <v>782</v>
      </c>
      <c r="AC942" s="5">
        <v>42028</v>
      </c>
      <c r="AF942" s="1">
        <v>10013</v>
      </c>
      <c r="AI942" s="1" t="s">
        <v>55</v>
      </c>
      <c r="AJ942" s="1">
        <v>2014</v>
      </c>
      <c r="AK942" s="1" t="s">
        <v>49</v>
      </c>
      <c r="AL942" s="1">
        <v>66</v>
      </c>
    </row>
    <row r="943" spans="1:38" x14ac:dyDescent="0.2">
      <c r="A943" s="2" t="str">
        <f>HYPERLINK("https://www.compass.com/listing/101-leonard-street-unit-5d-manhattan-ny-10013/29358429004924881/","101 Leonard St, Unit 5D")</f>
        <v>101 Leonard St, Unit 5D</v>
      </c>
      <c r="B943" s="2" t="str">
        <f t="shared" si="137"/>
        <v>The Leonard</v>
      </c>
      <c r="C943" s="1" t="s">
        <v>65</v>
      </c>
      <c r="D943" s="1" t="s">
        <v>41</v>
      </c>
      <c r="E943" s="3">
        <v>2545625</v>
      </c>
      <c r="F943" s="1">
        <v>1685.84437086092</v>
      </c>
      <c r="G943" s="1">
        <v>5</v>
      </c>
      <c r="H943" s="1">
        <v>2</v>
      </c>
      <c r="I943" s="1">
        <v>2</v>
      </c>
      <c r="J943" s="1">
        <v>2</v>
      </c>
      <c r="M943" s="4">
        <v>1510</v>
      </c>
      <c r="N943" s="1">
        <v>1664</v>
      </c>
      <c r="O943" s="1">
        <v>3317</v>
      </c>
      <c r="P943" s="1">
        <v>1653</v>
      </c>
      <c r="Q943" s="1" t="s">
        <v>42</v>
      </c>
      <c r="S943" s="1" t="s">
        <v>42</v>
      </c>
      <c r="T943" s="1" t="s">
        <v>153</v>
      </c>
      <c r="U943" s="1">
        <v>18</v>
      </c>
      <c r="V943" s="5">
        <v>43635</v>
      </c>
      <c r="W943" s="5">
        <v>42759</v>
      </c>
      <c r="X943" s="1">
        <v>2895000</v>
      </c>
      <c r="Y943" s="1">
        <v>2895000</v>
      </c>
      <c r="Z943" s="5">
        <v>42777</v>
      </c>
      <c r="AA943" s="1">
        <v>2800000</v>
      </c>
      <c r="AB943" s="1" t="s">
        <v>783</v>
      </c>
      <c r="AC943" s="5">
        <v>42865</v>
      </c>
      <c r="AF943" s="1">
        <v>10013</v>
      </c>
      <c r="AI943" s="1" t="s">
        <v>55</v>
      </c>
      <c r="AJ943" s="1">
        <v>2014</v>
      </c>
      <c r="AK943" s="1" t="s">
        <v>46</v>
      </c>
      <c r="AL943" s="1">
        <v>66</v>
      </c>
    </row>
    <row r="944" spans="1:38" x14ac:dyDescent="0.2">
      <c r="A944" s="2" t="str">
        <f>HYPERLINK("https://www.compass.com/listing/101-leonard-street-unit-5f-manhattan-ny-10013/29358429332076465/","101 Leonard St, Unit 5F")</f>
        <v>101 Leonard St, Unit 5F</v>
      </c>
      <c r="B944" s="2" t="str">
        <f t="shared" si="137"/>
        <v>The Leonard</v>
      </c>
      <c r="C944" s="1" t="s">
        <v>65</v>
      </c>
      <c r="D944" s="1" t="s">
        <v>41</v>
      </c>
      <c r="E944" s="3">
        <v>2046682</v>
      </c>
      <c r="F944" s="1">
        <v>1605.24078431372</v>
      </c>
      <c r="G944" s="1">
        <v>5</v>
      </c>
      <c r="H944" s="1">
        <v>2</v>
      </c>
      <c r="I944" s="1">
        <v>2</v>
      </c>
      <c r="J944" s="1">
        <v>2</v>
      </c>
      <c r="M944" s="4">
        <v>1275</v>
      </c>
      <c r="N944" s="1">
        <v>1405</v>
      </c>
      <c r="O944" s="1">
        <v>2801</v>
      </c>
      <c r="P944" s="1">
        <v>1396</v>
      </c>
      <c r="Q944" s="1" t="s">
        <v>42</v>
      </c>
      <c r="S944" s="1" t="s">
        <v>42</v>
      </c>
      <c r="T944" s="1" t="s">
        <v>153</v>
      </c>
      <c r="V944" s="5">
        <v>43623</v>
      </c>
      <c r="W944" s="5">
        <v>41976</v>
      </c>
      <c r="X944" s="1">
        <v>2010000</v>
      </c>
      <c r="Y944" s="1">
        <v>2010000</v>
      </c>
      <c r="Z944" s="5">
        <v>41976</v>
      </c>
      <c r="AA944" s="1">
        <v>2046682</v>
      </c>
      <c r="AB944" s="1" t="s">
        <v>784</v>
      </c>
      <c r="AC944" s="5">
        <v>42017</v>
      </c>
      <c r="AF944" s="1">
        <v>10013</v>
      </c>
      <c r="AI944" s="1" t="s">
        <v>55</v>
      </c>
      <c r="AJ944" s="1">
        <v>2014</v>
      </c>
      <c r="AK944" s="1" t="s">
        <v>49</v>
      </c>
      <c r="AL944" s="1">
        <v>66</v>
      </c>
    </row>
    <row r="945" spans="1:38" x14ac:dyDescent="0.2">
      <c r="A945" s="2" t="str">
        <f>HYPERLINK("https://www.compass.com/listing/101-leonard-street-unit-7d-manhattan-ny-10013/4852305782458291585/","101 Leonard St, Unit 7D")</f>
        <v>101 Leonard St, Unit 7D</v>
      </c>
      <c r="B945" s="2" t="str">
        <f t="shared" si="137"/>
        <v>The Leonard</v>
      </c>
      <c r="C945" s="1" t="s">
        <v>65</v>
      </c>
      <c r="D945" s="1" t="s">
        <v>41</v>
      </c>
      <c r="E945" s="3">
        <v>2494712</v>
      </c>
      <c r="F945" s="1">
        <v>1652.12715231788</v>
      </c>
      <c r="G945" s="1">
        <v>5</v>
      </c>
      <c r="H945" s="1">
        <v>2</v>
      </c>
      <c r="I945" s="1">
        <v>2</v>
      </c>
      <c r="J945" s="1">
        <v>2</v>
      </c>
      <c r="M945" s="4">
        <v>1510</v>
      </c>
      <c r="N945" s="1">
        <v>1680</v>
      </c>
      <c r="O945" s="1">
        <v>3349</v>
      </c>
      <c r="P945" s="1">
        <v>1669</v>
      </c>
      <c r="Q945" s="1" t="s">
        <v>42</v>
      </c>
      <c r="S945" s="1" t="s">
        <v>42</v>
      </c>
      <c r="T945" s="1" t="s">
        <v>153</v>
      </c>
      <c r="V945" s="5">
        <v>43624</v>
      </c>
      <c r="W945" s="5">
        <v>41488</v>
      </c>
      <c r="X945" s="1">
        <v>2450000</v>
      </c>
      <c r="Y945" s="1">
        <v>2450000</v>
      </c>
      <c r="Z945" s="5">
        <v>41488</v>
      </c>
      <c r="AA945" s="1">
        <v>2494712</v>
      </c>
      <c r="AB945" s="1" t="s">
        <v>785</v>
      </c>
      <c r="AC945" s="5">
        <v>41956</v>
      </c>
      <c r="AF945" s="1">
        <v>10013</v>
      </c>
      <c r="AI945" s="1" t="s">
        <v>55</v>
      </c>
      <c r="AJ945" s="1">
        <v>2014</v>
      </c>
      <c r="AK945" s="1" t="s">
        <v>49</v>
      </c>
      <c r="AL945" s="1">
        <v>66</v>
      </c>
    </row>
    <row r="946" spans="1:38" x14ac:dyDescent="0.2">
      <c r="A946" s="2" t="str">
        <f>HYPERLINK("https://www.compass.com/listing/101-leonard-street-unit-6d-manhattan-ny-10013/4852306178199257905/","101 Leonard St, Unit 6D")</f>
        <v>101 Leonard St, Unit 6D</v>
      </c>
      <c r="B946" s="2" t="str">
        <f t="shared" si="137"/>
        <v>The Leonard</v>
      </c>
      <c r="C946" s="1" t="s">
        <v>65</v>
      </c>
      <c r="D946" s="1" t="s">
        <v>41</v>
      </c>
      <c r="E946" s="3">
        <v>2347066</v>
      </c>
      <c r="F946" s="1">
        <v>1554.3483443708601</v>
      </c>
      <c r="G946" s="1">
        <v>5</v>
      </c>
      <c r="H946" s="1">
        <v>2</v>
      </c>
      <c r="I946" s="1">
        <v>2</v>
      </c>
      <c r="J946" s="1">
        <v>2</v>
      </c>
      <c r="M946" s="4">
        <v>1510</v>
      </c>
      <c r="N946" s="1">
        <v>1672</v>
      </c>
      <c r="O946" s="1">
        <v>3333</v>
      </c>
      <c r="P946" s="1">
        <v>1661</v>
      </c>
      <c r="Q946" s="1" t="s">
        <v>42</v>
      </c>
      <c r="S946" s="1" t="s">
        <v>42</v>
      </c>
      <c r="T946" s="1" t="s">
        <v>153</v>
      </c>
      <c r="V946" s="5">
        <v>43654</v>
      </c>
      <c r="W946" s="5">
        <v>41488</v>
      </c>
      <c r="X946" s="1">
        <v>2305000</v>
      </c>
      <c r="Y946" s="1">
        <v>2305000</v>
      </c>
      <c r="Z946" s="5">
        <v>41488</v>
      </c>
      <c r="AA946" s="1">
        <v>2347066</v>
      </c>
      <c r="AB946" s="1" t="s">
        <v>786</v>
      </c>
      <c r="AC946" s="5">
        <v>41979</v>
      </c>
      <c r="AF946" s="1">
        <v>10013</v>
      </c>
      <c r="AI946" s="1" t="s">
        <v>55</v>
      </c>
      <c r="AJ946" s="1">
        <v>2014</v>
      </c>
      <c r="AK946" s="1" t="s">
        <v>49</v>
      </c>
      <c r="AL946" s="1">
        <v>66</v>
      </c>
    </row>
    <row r="947" spans="1:38" x14ac:dyDescent="0.2">
      <c r="A947" s="2" t="str">
        <f>HYPERLINK("https://www.compass.com/listing/101-leonard-street-unit-4f-manhattan-ny-10013/4852307706922408385/","101 Leonard St, Unit 4F")</f>
        <v>101 Leonard St, Unit 4F</v>
      </c>
      <c r="B947" s="2" t="str">
        <f t="shared" si="137"/>
        <v>The Leonard</v>
      </c>
      <c r="C947" s="1" t="s">
        <v>65</v>
      </c>
      <c r="D947" s="1" t="s">
        <v>41</v>
      </c>
      <c r="E947" s="3">
        <v>2175000</v>
      </c>
      <c r="F947" s="1">
        <v>1705.88235294117</v>
      </c>
      <c r="G947" s="1">
        <v>5</v>
      </c>
      <c r="H947" s="1">
        <v>2</v>
      </c>
      <c r="I947" s="1">
        <v>2</v>
      </c>
      <c r="J947" s="1">
        <v>2</v>
      </c>
      <c r="M947" s="4">
        <v>1275</v>
      </c>
      <c r="N947" s="1">
        <v>1398</v>
      </c>
      <c r="O947" s="1">
        <v>2787</v>
      </c>
      <c r="P947" s="1">
        <v>1389</v>
      </c>
      <c r="Q947" s="1" t="s">
        <v>42</v>
      </c>
      <c r="S947" s="1" t="s">
        <v>42</v>
      </c>
      <c r="T947" s="1" t="s">
        <v>153</v>
      </c>
      <c r="U947" s="1">
        <v>144</v>
      </c>
      <c r="V947" s="5">
        <v>43626</v>
      </c>
      <c r="W947" s="5">
        <v>42537</v>
      </c>
      <c r="X947" s="1">
        <v>2250000</v>
      </c>
      <c r="Y947" s="1">
        <v>2175000</v>
      </c>
      <c r="AA947" s="1">
        <v>2175000</v>
      </c>
      <c r="AB947" s="1" t="s">
        <v>177</v>
      </c>
      <c r="AC947" s="5">
        <v>42681</v>
      </c>
      <c r="AF947" s="1">
        <v>10013</v>
      </c>
      <c r="AI947" s="1" t="s">
        <v>55</v>
      </c>
      <c r="AJ947" s="1">
        <v>2014</v>
      </c>
      <c r="AK947" s="1" t="s">
        <v>46</v>
      </c>
      <c r="AL947" s="1">
        <v>66</v>
      </c>
    </row>
    <row r="948" spans="1:38" x14ac:dyDescent="0.2">
      <c r="A948" s="2" t="str">
        <f>HYPERLINK("https://www.compass.com/listing/101-leonard-street-unit-8d-manhattan-ny-10013/4852329645455982401/","101 Leonard St, Unit 8D")</f>
        <v>101 Leonard St, Unit 8D</v>
      </c>
      <c r="B948" s="2" t="str">
        <f t="shared" si="137"/>
        <v>The Leonard</v>
      </c>
      <c r="C948" s="1" t="s">
        <v>65</v>
      </c>
      <c r="D948" s="1" t="s">
        <v>41</v>
      </c>
      <c r="E948" s="3">
        <v>2571081</v>
      </c>
      <c r="F948" s="1">
        <v>1702.70264900662</v>
      </c>
      <c r="G948" s="1">
        <v>5</v>
      </c>
      <c r="H948" s="1">
        <v>2</v>
      </c>
      <c r="I948" s="1">
        <v>2</v>
      </c>
      <c r="J948" s="1">
        <v>2</v>
      </c>
      <c r="M948" s="4">
        <v>1510</v>
      </c>
      <c r="N948" s="1">
        <v>1688</v>
      </c>
      <c r="O948" s="1">
        <v>3365</v>
      </c>
      <c r="P948" s="1">
        <v>1677</v>
      </c>
      <c r="Q948" s="1" t="s">
        <v>42</v>
      </c>
      <c r="S948" s="1" t="s">
        <v>42</v>
      </c>
      <c r="T948" s="1" t="s">
        <v>153</v>
      </c>
      <c r="V948" s="5">
        <v>43635</v>
      </c>
      <c r="W948" s="5">
        <v>41488</v>
      </c>
      <c r="X948" s="1">
        <v>2525000</v>
      </c>
      <c r="Y948" s="1">
        <v>2525000</v>
      </c>
      <c r="Z948" s="5">
        <v>41488</v>
      </c>
      <c r="AA948" s="1">
        <v>2571081</v>
      </c>
      <c r="AB948" s="1" t="s">
        <v>787</v>
      </c>
      <c r="AC948" s="5">
        <v>41976</v>
      </c>
      <c r="AF948" s="1">
        <v>10013</v>
      </c>
      <c r="AI948" s="1" t="s">
        <v>55</v>
      </c>
      <c r="AJ948" s="1">
        <v>2014</v>
      </c>
      <c r="AK948" s="1" t="s">
        <v>49</v>
      </c>
      <c r="AL948" s="1">
        <v>66</v>
      </c>
    </row>
    <row r="949" spans="1:38" x14ac:dyDescent="0.2">
      <c r="A949" s="2" t="str">
        <f>HYPERLINK("https://www.compass.com/listing/101-leonard-street-unit-2d-manhattan-ny-10013/4852306177763050209/","101 Leonard St, Unit 2D")</f>
        <v>101 Leonard St, Unit 2D</v>
      </c>
      <c r="B949" s="2" t="str">
        <f t="shared" si="137"/>
        <v>The Leonard</v>
      </c>
      <c r="C949" s="1" t="s">
        <v>65</v>
      </c>
      <c r="D949" s="1" t="s">
        <v>41</v>
      </c>
      <c r="E949" s="3">
        <v>2316518</v>
      </c>
      <c r="F949" s="1">
        <v>1534.1178807947001</v>
      </c>
      <c r="G949" s="1">
        <v>5</v>
      </c>
      <c r="H949" s="1">
        <v>2</v>
      </c>
      <c r="I949" s="1">
        <v>2</v>
      </c>
      <c r="J949" s="1">
        <v>2</v>
      </c>
      <c r="M949" s="4">
        <v>1510</v>
      </c>
      <c r="N949" s="1">
        <v>1639</v>
      </c>
      <c r="O949" s="1">
        <v>3268</v>
      </c>
      <c r="P949" s="1">
        <v>1629</v>
      </c>
      <c r="Q949" s="1" t="s">
        <v>42</v>
      </c>
      <c r="S949" s="1" t="s">
        <v>42</v>
      </c>
      <c r="T949" s="1" t="s">
        <v>153</v>
      </c>
      <c r="V949" s="5">
        <v>43623</v>
      </c>
      <c r="W949" s="5">
        <v>41488</v>
      </c>
      <c r="X949" s="1">
        <v>2275000</v>
      </c>
      <c r="Y949" s="1">
        <v>2275000</v>
      </c>
      <c r="Z949" s="5">
        <v>41488</v>
      </c>
      <c r="AA949" s="1">
        <v>2316518</v>
      </c>
      <c r="AB949" s="1" t="s">
        <v>788</v>
      </c>
      <c r="AC949" s="5">
        <v>41969</v>
      </c>
      <c r="AF949" s="1">
        <v>10013</v>
      </c>
      <c r="AI949" s="1" t="s">
        <v>55</v>
      </c>
      <c r="AJ949" s="1">
        <v>2014</v>
      </c>
      <c r="AK949" s="1" t="s">
        <v>49</v>
      </c>
      <c r="AL949" s="1">
        <v>66</v>
      </c>
    </row>
    <row r="950" spans="1:38" x14ac:dyDescent="0.2">
      <c r="A950" s="2" t="str">
        <f>HYPERLINK("https://www.compass.com/listing/101-leonard-street-unit-loftb-manhattan-ny-10013/4852329640909355825/","101 Leonard St, Unit LOFTB")</f>
        <v>101 Leonard St, Unit LOFTB</v>
      </c>
      <c r="B950" s="2" t="str">
        <f t="shared" si="137"/>
        <v>The Leonard</v>
      </c>
      <c r="C950" s="1" t="s">
        <v>65</v>
      </c>
      <c r="D950" s="1" t="s">
        <v>41</v>
      </c>
      <c r="E950" s="3">
        <v>2392887</v>
      </c>
      <c r="F950" s="1">
        <v>1452.8761384335101</v>
      </c>
      <c r="G950" s="1">
        <v>5</v>
      </c>
      <c r="H950" s="1">
        <v>2</v>
      </c>
      <c r="I950" s="1">
        <v>2</v>
      </c>
      <c r="J950" s="1">
        <v>2</v>
      </c>
      <c r="M950" s="4">
        <v>1647</v>
      </c>
      <c r="N950" s="1">
        <v>1779</v>
      </c>
      <c r="O950" s="1">
        <v>3547</v>
      </c>
      <c r="P950" s="1">
        <v>1768</v>
      </c>
      <c r="Q950" s="1" t="s">
        <v>42</v>
      </c>
      <c r="S950" s="1" t="s">
        <v>42</v>
      </c>
      <c r="T950" s="1" t="s">
        <v>153</v>
      </c>
      <c r="V950" s="5">
        <v>43635</v>
      </c>
      <c r="W950" s="5">
        <v>41502</v>
      </c>
      <c r="X950" s="1">
        <v>2350000</v>
      </c>
      <c r="Y950" s="1">
        <v>2350000</v>
      </c>
      <c r="Z950" s="5">
        <v>41502</v>
      </c>
      <c r="AA950" s="1">
        <v>2392887</v>
      </c>
      <c r="AB950" s="1" t="s">
        <v>789</v>
      </c>
      <c r="AC950" s="5">
        <v>42003</v>
      </c>
      <c r="AF950" s="1">
        <v>10013</v>
      </c>
      <c r="AI950" s="1" t="s">
        <v>55</v>
      </c>
      <c r="AJ950" s="1">
        <v>2014</v>
      </c>
      <c r="AK950" s="1" t="s">
        <v>49</v>
      </c>
      <c r="AL950" s="1">
        <v>66</v>
      </c>
    </row>
    <row r="951" spans="1:38" x14ac:dyDescent="0.2">
      <c r="A951" s="2" t="str">
        <f>HYPERLINK("https://www.compass.com/listing/71-laight-street-unit-4c-manhattan-ny-10013/29359348941640897/","71 Laight St, Unit 4C")</f>
        <v>71 Laight St, Unit 4C</v>
      </c>
      <c r="B951" s="2" t="str">
        <f>HYPERLINK("https://www.compass.com/building/the-sterling-mason-manhattan-ny/281919618778432805/","The Sterling Mason")</f>
        <v>The Sterling Mason</v>
      </c>
      <c r="C951" s="1" t="s">
        <v>65</v>
      </c>
      <c r="D951" s="1" t="s">
        <v>41</v>
      </c>
      <c r="E951" s="3">
        <v>9799013</v>
      </c>
      <c r="F951" s="1">
        <v>2642.6680151024798</v>
      </c>
      <c r="G951" s="1">
        <v>14</v>
      </c>
      <c r="H951" s="1">
        <v>5</v>
      </c>
      <c r="I951" s="1">
        <v>6</v>
      </c>
      <c r="J951" s="1">
        <v>5.5</v>
      </c>
      <c r="M951" s="4">
        <v>3708</v>
      </c>
      <c r="N951" s="1">
        <v>5961</v>
      </c>
      <c r="O951" s="1">
        <v>8504</v>
      </c>
      <c r="P951" s="1">
        <v>2543</v>
      </c>
      <c r="Q951" s="1" t="s">
        <v>42</v>
      </c>
      <c r="S951" s="1" t="s">
        <v>42</v>
      </c>
      <c r="T951" s="1" t="s">
        <v>153</v>
      </c>
      <c r="U951" s="1">
        <v>16</v>
      </c>
      <c r="V951" s="5">
        <v>44209</v>
      </c>
      <c r="W951" s="5">
        <v>42343</v>
      </c>
      <c r="Y951" s="1">
        <v>9900000</v>
      </c>
      <c r="Z951" s="5">
        <v>41537</v>
      </c>
      <c r="AA951" s="1">
        <v>9799013</v>
      </c>
      <c r="AB951" s="1" t="s">
        <v>767</v>
      </c>
      <c r="AC951" s="5">
        <v>42465</v>
      </c>
      <c r="AF951" s="1">
        <v>10013</v>
      </c>
      <c r="AI951" s="1" t="s">
        <v>66</v>
      </c>
      <c r="AJ951" s="1">
        <v>2015</v>
      </c>
      <c r="AK951" s="1" t="s">
        <v>49</v>
      </c>
      <c r="AL951" s="1">
        <v>33</v>
      </c>
    </row>
    <row r="952" spans="1:38" x14ac:dyDescent="0.2">
      <c r="A952" s="2" t="str">
        <f>HYPERLINK("https://www.compass.com/listing/101-leonard-street-unit-8f-manhattan-ny-10013/29513606928365457/","101 Leonard St, Unit 8F")</f>
        <v>101 Leonard St, Unit 8F</v>
      </c>
      <c r="B952" s="2" t="str">
        <f t="shared" ref="B952:B961" si="138">HYPERLINK("https://www.compass.com/building/the-leonard-manhattan-ny/281919139939910965/","The Leonard")</f>
        <v>The Leonard</v>
      </c>
      <c r="C952" s="1" t="s">
        <v>65</v>
      </c>
      <c r="D952" s="1" t="s">
        <v>41</v>
      </c>
      <c r="E952" s="3">
        <v>1960000</v>
      </c>
      <c r="F952" s="1">
        <v>1537.25490196078</v>
      </c>
      <c r="G952" s="1">
        <v>5</v>
      </c>
      <c r="H952" s="1">
        <v>2</v>
      </c>
      <c r="I952" s="1">
        <v>2</v>
      </c>
      <c r="J952" s="1">
        <v>2</v>
      </c>
      <c r="K952" s="1">
        <v>2</v>
      </c>
      <c r="M952" s="4">
        <v>1275</v>
      </c>
      <c r="N952" s="1">
        <v>1510</v>
      </c>
      <c r="O952" s="1">
        <v>3290</v>
      </c>
      <c r="P952" s="1">
        <v>1780</v>
      </c>
      <c r="Q952" s="1" t="s">
        <v>42</v>
      </c>
      <c r="S952" s="1" t="s">
        <v>42</v>
      </c>
      <c r="T952" s="1" t="s">
        <v>153</v>
      </c>
      <c r="U952" s="1">
        <v>434</v>
      </c>
      <c r="V952" s="5">
        <v>43806</v>
      </c>
      <c r="W952" s="5">
        <v>42945</v>
      </c>
      <c r="X952" s="1">
        <v>2350000</v>
      </c>
      <c r="Y952" s="1">
        <v>2199000</v>
      </c>
      <c r="Z952" s="5">
        <v>43379</v>
      </c>
      <c r="AA952" s="1">
        <v>1960000</v>
      </c>
      <c r="AB952" s="1" t="s">
        <v>790</v>
      </c>
      <c r="AC952" s="5">
        <v>43446</v>
      </c>
      <c r="AF952" s="1">
        <v>10013</v>
      </c>
      <c r="AI952" s="1" t="s">
        <v>55</v>
      </c>
      <c r="AJ952" s="1">
        <v>2014</v>
      </c>
      <c r="AK952" s="1" t="s">
        <v>49</v>
      </c>
      <c r="AL952" s="1">
        <v>66</v>
      </c>
    </row>
    <row r="953" spans="1:38" x14ac:dyDescent="0.2">
      <c r="A953" s="2" t="str">
        <f>HYPERLINK("https://www.compass.com/listing/101-leonard-street-unit-6d-manhattan-ny-10013/172630847550152737/","101 Leonard St, Unit 6D")</f>
        <v>101 Leonard St, Unit 6D</v>
      </c>
      <c r="B953" s="2" t="str">
        <f t="shared" si="138"/>
        <v>The Leonard</v>
      </c>
      <c r="C953" s="1" t="s">
        <v>65</v>
      </c>
      <c r="D953" s="1" t="s">
        <v>41</v>
      </c>
      <c r="E953" s="3">
        <v>2287500</v>
      </c>
      <c r="F953" s="1">
        <v>1514.9006622516499</v>
      </c>
      <c r="G953" s="1">
        <v>4.5</v>
      </c>
      <c r="H953" s="1">
        <v>2</v>
      </c>
      <c r="I953" s="1">
        <v>2</v>
      </c>
      <c r="J953" s="1">
        <v>2</v>
      </c>
      <c r="K953" s="1">
        <v>2</v>
      </c>
      <c r="M953" s="4">
        <v>1510</v>
      </c>
      <c r="N953" s="1">
        <v>1988.78</v>
      </c>
      <c r="O953" s="1">
        <v>4496.78</v>
      </c>
      <c r="P953" s="1">
        <v>2508</v>
      </c>
      <c r="Q953" s="1" t="s">
        <v>42</v>
      </c>
      <c r="S953" s="1" t="s">
        <v>42</v>
      </c>
      <c r="T953" s="1" t="s">
        <v>153</v>
      </c>
      <c r="U953" s="1">
        <v>160</v>
      </c>
      <c r="V953" s="5">
        <v>43834</v>
      </c>
      <c r="W953" s="5">
        <v>43491</v>
      </c>
      <c r="X953" s="1">
        <v>2595000</v>
      </c>
      <c r="Y953" s="1">
        <v>2375000</v>
      </c>
      <c r="Z953" s="5">
        <v>43651</v>
      </c>
      <c r="AA953" s="1">
        <v>2287500</v>
      </c>
      <c r="AB953" s="1" t="s">
        <v>791</v>
      </c>
      <c r="AC953" s="5">
        <v>43808</v>
      </c>
      <c r="AF953" s="1">
        <v>10013</v>
      </c>
      <c r="AI953" s="1" t="s">
        <v>143</v>
      </c>
      <c r="AJ953" s="1">
        <v>2014</v>
      </c>
      <c r="AK953" s="1" t="s">
        <v>46</v>
      </c>
      <c r="AL953" s="1">
        <v>66</v>
      </c>
    </row>
    <row r="954" spans="1:38" x14ac:dyDescent="0.2">
      <c r="A954" s="2" t="str">
        <f>HYPERLINK("https://www.compass.com/listing/101-leonard-street-unit-2e-manhattan-ny-10013/50847558297266849/","101 Leonard St, Unit 2E")</f>
        <v>101 Leonard St, Unit 2E</v>
      </c>
      <c r="B954" s="2" t="str">
        <f t="shared" si="138"/>
        <v>The Leonard</v>
      </c>
      <c r="C954" s="1" t="s">
        <v>65</v>
      </c>
      <c r="D954" s="1" t="s">
        <v>41</v>
      </c>
      <c r="E954" s="3">
        <v>2978381</v>
      </c>
      <c r="F954" s="1">
        <v>1517.25993377483</v>
      </c>
      <c r="G954" s="1">
        <v>5</v>
      </c>
      <c r="H954" s="1">
        <v>3</v>
      </c>
      <c r="I954" s="1">
        <v>3</v>
      </c>
      <c r="J954" s="1">
        <v>3</v>
      </c>
      <c r="M954" s="4">
        <v>1963</v>
      </c>
      <c r="N954" s="1">
        <v>2131</v>
      </c>
      <c r="O954" s="1">
        <v>4248</v>
      </c>
      <c r="P954" s="1">
        <v>2117</v>
      </c>
      <c r="Q954" s="1" t="s">
        <v>42</v>
      </c>
      <c r="S954" s="1" t="s">
        <v>42</v>
      </c>
      <c r="T954" s="1" t="s">
        <v>153</v>
      </c>
      <c r="U954" s="1">
        <v>50</v>
      </c>
      <c r="V954" s="5">
        <v>43636</v>
      </c>
      <c r="W954" s="5">
        <v>43193</v>
      </c>
      <c r="X954" s="1">
        <v>3350000</v>
      </c>
      <c r="Y954" s="1">
        <v>3350000</v>
      </c>
      <c r="Z954" s="5">
        <v>43243</v>
      </c>
      <c r="AA954" s="1">
        <v>3225000</v>
      </c>
      <c r="AB954" s="1" t="s">
        <v>761</v>
      </c>
      <c r="AC954" s="5">
        <v>43300</v>
      </c>
      <c r="AF954" s="1">
        <v>10013</v>
      </c>
      <c r="AI954" s="1" t="s">
        <v>55</v>
      </c>
      <c r="AJ954" s="1">
        <v>2014</v>
      </c>
      <c r="AK954" s="1" t="s">
        <v>49</v>
      </c>
      <c r="AL954" s="1">
        <v>66</v>
      </c>
    </row>
    <row r="955" spans="1:38" x14ac:dyDescent="0.2">
      <c r="A955" s="2" t="str">
        <f>HYPERLINK("https://www.compass.com/listing/101-leonard-street-unit-7b-manhattan-ny-10013/50847560662809297/","101 Leonard St, Unit 7B")</f>
        <v>101 Leonard St, Unit 7B</v>
      </c>
      <c r="B955" s="2" t="str">
        <f t="shared" si="138"/>
        <v>The Leonard</v>
      </c>
      <c r="C955" s="1" t="s">
        <v>65</v>
      </c>
      <c r="D955" s="1" t="s">
        <v>41</v>
      </c>
      <c r="E955" s="3">
        <v>3309312</v>
      </c>
      <c r="F955" s="1">
        <v>1823.3123966942101</v>
      </c>
      <c r="G955" s="1">
        <v>8</v>
      </c>
      <c r="H955" s="1">
        <v>3</v>
      </c>
      <c r="I955" s="1">
        <v>4</v>
      </c>
      <c r="J955" s="1">
        <v>3.5</v>
      </c>
      <c r="M955" s="4">
        <v>1815</v>
      </c>
      <c r="N955" s="1">
        <v>2020</v>
      </c>
      <c r="O955" s="1">
        <v>4026</v>
      </c>
      <c r="P955" s="1">
        <v>2006</v>
      </c>
      <c r="Q955" s="1" t="s">
        <v>42</v>
      </c>
      <c r="S955" s="1" t="s">
        <v>42</v>
      </c>
      <c r="T955" s="1" t="s">
        <v>153</v>
      </c>
      <c r="V955" s="5">
        <v>43623</v>
      </c>
      <c r="W955" s="5">
        <v>41550</v>
      </c>
      <c r="X955" s="1">
        <v>3250000</v>
      </c>
      <c r="Y955" s="1">
        <v>3250000</v>
      </c>
      <c r="Z955" s="5">
        <v>41550</v>
      </c>
      <c r="AA955" s="1">
        <v>3309312</v>
      </c>
      <c r="AB955" s="1" t="s">
        <v>792</v>
      </c>
      <c r="AC955" s="5">
        <v>41947</v>
      </c>
      <c r="AF955" s="1">
        <v>10013</v>
      </c>
      <c r="AI955" s="1" t="s">
        <v>55</v>
      </c>
      <c r="AJ955" s="1">
        <v>2014</v>
      </c>
      <c r="AK955" s="1" t="s">
        <v>49</v>
      </c>
      <c r="AL955" s="1">
        <v>66</v>
      </c>
    </row>
    <row r="956" spans="1:38" x14ac:dyDescent="0.2">
      <c r="A956" s="2" t="str">
        <f>HYPERLINK("https://www.compass.com/listing/101-leonard-street-unit-5d-manhattan-ny-10013/70911208512912545/","101 Leonard St, Unit 5D")</f>
        <v>101 Leonard St, Unit 5D</v>
      </c>
      <c r="B956" s="2" t="str">
        <f t="shared" si="138"/>
        <v>The Leonard</v>
      </c>
      <c r="C956" s="1" t="s">
        <v>65</v>
      </c>
      <c r="D956" s="1" t="s">
        <v>41</v>
      </c>
      <c r="E956" s="3">
        <v>2800000</v>
      </c>
      <c r="F956" s="1">
        <v>1854.3046357615799</v>
      </c>
      <c r="G956" s="1">
        <v>5</v>
      </c>
      <c r="H956" s="1">
        <v>2</v>
      </c>
      <c r="I956" s="1">
        <v>2</v>
      </c>
      <c r="J956" s="1">
        <v>2</v>
      </c>
      <c r="M956" s="4">
        <v>1510</v>
      </c>
      <c r="N956" s="1">
        <v>1770</v>
      </c>
      <c r="O956" s="1">
        <v>4299</v>
      </c>
      <c r="P956" s="1">
        <v>2529</v>
      </c>
      <c r="Q956" s="1" t="s">
        <v>42</v>
      </c>
      <c r="S956" s="1" t="s">
        <v>42</v>
      </c>
      <c r="T956" s="1" t="s">
        <v>153</v>
      </c>
      <c r="U956" s="1">
        <v>18</v>
      </c>
      <c r="V956" s="5">
        <v>43623</v>
      </c>
      <c r="W956" s="5">
        <v>42759</v>
      </c>
      <c r="X956" s="1">
        <v>2895000</v>
      </c>
      <c r="Y956" s="1">
        <v>2895000</v>
      </c>
      <c r="Z956" s="5">
        <v>42777</v>
      </c>
      <c r="AA956" s="1">
        <v>2800000</v>
      </c>
      <c r="AB956" s="1" t="s">
        <v>783</v>
      </c>
      <c r="AC956" s="5">
        <v>42865</v>
      </c>
      <c r="AF956" s="1">
        <v>10013</v>
      </c>
      <c r="AI956" s="1" t="s">
        <v>55</v>
      </c>
      <c r="AJ956" s="1">
        <v>2014</v>
      </c>
      <c r="AK956" s="1" t="s">
        <v>49</v>
      </c>
      <c r="AL956" s="1">
        <v>66</v>
      </c>
    </row>
    <row r="957" spans="1:38" x14ac:dyDescent="0.2">
      <c r="A957" s="2" t="str">
        <f>HYPERLINK("https://www.compass.com/listing/101-leonard-street-unit-3e-manhattan-ny-10013/4852316570518556289/","101 Leonard St, Unit 3E")</f>
        <v>101 Leonard St, Unit 3E</v>
      </c>
      <c r="B957" s="2" t="str">
        <f t="shared" si="138"/>
        <v>The Leonard</v>
      </c>
      <c r="C957" s="1" t="s">
        <v>65</v>
      </c>
      <c r="D957" s="1" t="s">
        <v>41</v>
      </c>
      <c r="E957" s="3">
        <v>3110753</v>
      </c>
      <c r="F957" s="1">
        <v>1584.693326541</v>
      </c>
      <c r="G957" s="1">
        <v>7</v>
      </c>
      <c r="H957" s="1">
        <v>3</v>
      </c>
      <c r="I957" s="1">
        <v>3</v>
      </c>
      <c r="J957" s="1">
        <v>3</v>
      </c>
      <c r="M957" s="4">
        <v>1963</v>
      </c>
      <c r="N957" s="1">
        <v>2142</v>
      </c>
      <c r="O957" s="1">
        <v>4270</v>
      </c>
      <c r="P957" s="1">
        <v>2128</v>
      </c>
      <c r="Q957" s="1" t="s">
        <v>42</v>
      </c>
      <c r="S957" s="1" t="s">
        <v>42</v>
      </c>
      <c r="T957" s="1" t="s">
        <v>153</v>
      </c>
      <c r="U957" s="1">
        <v>116</v>
      </c>
      <c r="V957" s="5">
        <v>43623</v>
      </c>
      <c r="W957" s="5">
        <v>41555</v>
      </c>
      <c r="X957" s="1">
        <v>3055000</v>
      </c>
      <c r="Y957" s="1">
        <v>3055000</v>
      </c>
      <c r="Z957" s="5">
        <v>41671</v>
      </c>
      <c r="AA957" s="1">
        <v>3110753</v>
      </c>
      <c r="AB957" s="1" t="s">
        <v>793</v>
      </c>
      <c r="AC957" s="5">
        <v>41993</v>
      </c>
      <c r="AF957" s="1">
        <v>10013</v>
      </c>
      <c r="AI957" s="1" t="s">
        <v>55</v>
      </c>
      <c r="AJ957" s="1">
        <v>2014</v>
      </c>
      <c r="AK957" s="1" t="s">
        <v>49</v>
      </c>
      <c r="AL957" s="1">
        <v>66</v>
      </c>
    </row>
    <row r="958" spans="1:38" x14ac:dyDescent="0.2">
      <c r="A958" s="2" t="str">
        <f>HYPERLINK("https://www.compass.com/listing/101-leonard-street-unit-4e-manhattan-ny-10013/4852330044929879153/","101 Leonard St, Unit 4E")</f>
        <v>101 Leonard St, Unit 4E</v>
      </c>
      <c r="B958" s="2" t="str">
        <f t="shared" si="138"/>
        <v>The Leonard</v>
      </c>
      <c r="C958" s="1" t="s">
        <v>65</v>
      </c>
      <c r="D958" s="1" t="s">
        <v>41</v>
      </c>
      <c r="E958" s="3">
        <v>3039476</v>
      </c>
      <c r="F958" s="1">
        <v>1548.3830871115599</v>
      </c>
      <c r="G958" s="1">
        <v>7</v>
      </c>
      <c r="H958" s="1">
        <v>3</v>
      </c>
      <c r="I958" s="1">
        <v>3</v>
      </c>
      <c r="J958" s="1">
        <v>3</v>
      </c>
      <c r="K958" s="1">
        <v>3</v>
      </c>
      <c r="M958" s="4">
        <v>1963</v>
      </c>
      <c r="N958" s="1">
        <v>2152</v>
      </c>
      <c r="O958" s="1">
        <v>4290</v>
      </c>
      <c r="P958" s="1">
        <v>2138</v>
      </c>
      <c r="Q958" s="1" t="s">
        <v>42</v>
      </c>
      <c r="S958" s="1" t="s">
        <v>42</v>
      </c>
      <c r="T958" s="1" t="s">
        <v>153</v>
      </c>
      <c r="V958" s="5">
        <v>44245</v>
      </c>
      <c r="W958" s="5">
        <v>41506</v>
      </c>
      <c r="X958" s="1">
        <v>2985000</v>
      </c>
      <c r="Y958" s="1">
        <v>2985000</v>
      </c>
      <c r="Z958" s="5">
        <v>41506</v>
      </c>
      <c r="AA958" s="1">
        <v>3039476</v>
      </c>
      <c r="AB958" s="1" t="s">
        <v>794</v>
      </c>
      <c r="AC958" s="5">
        <v>41969</v>
      </c>
      <c r="AF958" s="1">
        <v>10013</v>
      </c>
      <c r="AI958" s="1" t="s">
        <v>55</v>
      </c>
      <c r="AJ958" s="1">
        <v>2014</v>
      </c>
      <c r="AK958" s="1" t="s">
        <v>49</v>
      </c>
      <c r="AL958" s="1">
        <v>66</v>
      </c>
    </row>
    <row r="959" spans="1:38" x14ac:dyDescent="0.2">
      <c r="A959" s="2" t="str">
        <f>HYPERLINK("https://www.compass.com/listing/101-leonard-street-unit-7f-manhattan-ny-10013/18882267988481121/","101 Leonard St, Unit 7F")</f>
        <v>101 Leonard St, Unit 7F</v>
      </c>
      <c r="B959" s="2" t="str">
        <f t="shared" si="138"/>
        <v>The Leonard</v>
      </c>
      <c r="C959" s="1" t="s">
        <v>65</v>
      </c>
      <c r="D959" s="1" t="s">
        <v>41</v>
      </c>
      <c r="E959" s="3">
        <v>2125000</v>
      </c>
      <c r="F959" s="1">
        <v>1666.6666666666599</v>
      </c>
      <c r="G959" s="1">
        <v>5</v>
      </c>
      <c r="H959" s="1">
        <v>2</v>
      </c>
      <c r="I959" s="1">
        <v>2</v>
      </c>
      <c r="J959" s="1">
        <v>2</v>
      </c>
      <c r="M959" s="4">
        <v>1275</v>
      </c>
      <c r="N959" s="1">
        <v>1419</v>
      </c>
      <c r="O959" s="1">
        <v>2828</v>
      </c>
      <c r="P959" s="1">
        <v>1409</v>
      </c>
      <c r="Q959" s="1" t="s">
        <v>42</v>
      </c>
      <c r="S959" s="1" t="s">
        <v>42</v>
      </c>
      <c r="T959" s="1" t="s">
        <v>153</v>
      </c>
      <c r="V959" s="5">
        <v>43656</v>
      </c>
      <c r="W959" s="5">
        <v>41508</v>
      </c>
      <c r="X959" s="1">
        <v>2125000</v>
      </c>
      <c r="Y959" s="1">
        <v>2125000</v>
      </c>
      <c r="Z959" s="5">
        <v>41508</v>
      </c>
      <c r="AA959" s="1">
        <v>2125000</v>
      </c>
      <c r="AB959" s="1" t="s">
        <v>795</v>
      </c>
      <c r="AC959" s="5">
        <v>41977</v>
      </c>
      <c r="AF959" s="1">
        <v>10013</v>
      </c>
      <c r="AI959" s="1" t="s">
        <v>55</v>
      </c>
      <c r="AJ959" s="1">
        <v>2014</v>
      </c>
      <c r="AK959" s="1" t="s">
        <v>46</v>
      </c>
      <c r="AL959" s="1">
        <v>66</v>
      </c>
    </row>
    <row r="960" spans="1:38" x14ac:dyDescent="0.2">
      <c r="A960" s="2" t="str">
        <f>HYPERLINK("https://www.compass.com/listing/101-leonard-street-unit-6f-manhattan-ny-10013/29358430246438881/","101 Leonard St, Unit 6F")</f>
        <v>101 Leonard St, Unit 6F</v>
      </c>
      <c r="B960" s="2" t="str">
        <f t="shared" si="138"/>
        <v>The Leonard</v>
      </c>
      <c r="C960" s="1" t="s">
        <v>65</v>
      </c>
      <c r="D960" s="1" t="s">
        <v>41</v>
      </c>
      <c r="E960" s="3">
        <v>2138325</v>
      </c>
      <c r="F960" s="1">
        <v>1677.11764705882</v>
      </c>
      <c r="G960" s="1">
        <v>5</v>
      </c>
      <c r="H960" s="1">
        <v>2</v>
      </c>
      <c r="I960" s="1">
        <v>2</v>
      </c>
      <c r="J960" s="1">
        <v>2</v>
      </c>
      <c r="K960" s="1">
        <v>2</v>
      </c>
      <c r="M960" s="4">
        <v>1275</v>
      </c>
      <c r="N960" s="1">
        <v>1412</v>
      </c>
      <c r="O960" s="1">
        <v>2815</v>
      </c>
      <c r="P960" s="1">
        <v>1403</v>
      </c>
      <c r="Q960" s="1" t="s">
        <v>42</v>
      </c>
      <c r="S960" s="1" t="s">
        <v>42</v>
      </c>
      <c r="T960" s="1" t="s">
        <v>153</v>
      </c>
      <c r="U960" s="1">
        <v>1</v>
      </c>
      <c r="V960" s="5">
        <v>44245</v>
      </c>
      <c r="W960" s="5">
        <v>41515</v>
      </c>
      <c r="X960" s="1">
        <v>2100000</v>
      </c>
      <c r="Y960" s="1">
        <v>2100000</v>
      </c>
      <c r="Z960" s="5">
        <v>41516</v>
      </c>
      <c r="AA960" s="1">
        <v>2138325</v>
      </c>
      <c r="AB960" s="1" t="s">
        <v>796</v>
      </c>
      <c r="AC960" s="5">
        <v>41956</v>
      </c>
      <c r="AF960" s="1">
        <v>10013</v>
      </c>
      <c r="AI960" s="1" t="s">
        <v>55</v>
      </c>
      <c r="AJ960" s="1">
        <v>2014</v>
      </c>
      <c r="AK960" s="1" t="s">
        <v>49</v>
      </c>
      <c r="AL960" s="1">
        <v>66</v>
      </c>
    </row>
    <row r="961" spans="1:38" x14ac:dyDescent="0.2">
      <c r="A961" s="2" t="str">
        <f>HYPERLINK("https://www.compass.com/listing/101-leonard-street-unit-4d-manhattan-ny-10013/70911215919994241/","101 Leonard St, Unit 4D")</f>
        <v>101 Leonard St, Unit 4D</v>
      </c>
      <c r="B961" s="2" t="str">
        <f t="shared" si="138"/>
        <v>The Leonard</v>
      </c>
      <c r="C961" s="1" t="s">
        <v>65</v>
      </c>
      <c r="D961" s="1" t="s">
        <v>41</v>
      </c>
      <c r="E961" s="3">
        <v>2475000</v>
      </c>
      <c r="F961" s="1">
        <v>1639.07284768211</v>
      </c>
      <c r="G961" s="1">
        <v>5</v>
      </c>
      <c r="H961" s="1">
        <v>2</v>
      </c>
      <c r="I961" s="1">
        <v>2</v>
      </c>
      <c r="J961" s="1">
        <v>2</v>
      </c>
      <c r="M961" s="4">
        <v>1510</v>
      </c>
      <c r="N961" s="1">
        <v>1656</v>
      </c>
      <c r="O961" s="1">
        <v>3301</v>
      </c>
      <c r="P961" s="1">
        <v>1645</v>
      </c>
      <c r="Q961" s="1" t="s">
        <v>42</v>
      </c>
      <c r="S961" s="1" t="s">
        <v>42</v>
      </c>
      <c r="T961" s="1" t="s">
        <v>153</v>
      </c>
      <c r="U961" s="1">
        <v>1</v>
      </c>
      <c r="V961" s="5">
        <v>43626</v>
      </c>
      <c r="W961" s="5">
        <v>41506</v>
      </c>
      <c r="X961" s="1">
        <v>2475000</v>
      </c>
      <c r="Y961" s="1">
        <v>2475000</v>
      </c>
      <c r="Z961" s="5">
        <v>41507</v>
      </c>
      <c r="AA961" s="1">
        <v>2475000</v>
      </c>
      <c r="AB961" s="1" t="s">
        <v>797</v>
      </c>
      <c r="AC961" s="5">
        <v>41949</v>
      </c>
      <c r="AF961" s="1">
        <v>10013</v>
      </c>
      <c r="AI961" s="1" t="s">
        <v>55</v>
      </c>
      <c r="AJ961" s="1">
        <v>2014</v>
      </c>
      <c r="AK961" s="1" t="s">
        <v>49</v>
      </c>
      <c r="AL961" s="1">
        <v>66</v>
      </c>
    </row>
    <row r="962" spans="1:38" x14ac:dyDescent="0.2">
      <c r="A962" s="2" t="str">
        <f>HYPERLINK("https://www.compass.com/listing/71-laight-street-unit-pha-manhattan-ny-10013/29359350887797985/","71 Laight St, Unit PHA")</f>
        <v>71 Laight St, Unit PHA</v>
      </c>
      <c r="B962" s="2" t="str">
        <f t="shared" ref="B962:B963" si="139">HYPERLINK("https://www.compass.com/building/the-sterling-mason-manhattan-ny/281919618778432805/","The Sterling Mason")</f>
        <v>The Sterling Mason</v>
      </c>
      <c r="C962" s="1" t="s">
        <v>65</v>
      </c>
      <c r="D962" s="1" t="s">
        <v>41</v>
      </c>
      <c r="E962" s="3">
        <v>20365000</v>
      </c>
      <c r="F962" s="1">
        <v>4427.1739130434698</v>
      </c>
      <c r="G962" s="1">
        <v>15</v>
      </c>
      <c r="H962" s="1">
        <v>4</v>
      </c>
      <c r="I962" s="1">
        <v>5</v>
      </c>
      <c r="J962" s="1">
        <v>4.5</v>
      </c>
      <c r="M962" s="4">
        <v>4600</v>
      </c>
      <c r="N962" s="1">
        <v>8914</v>
      </c>
      <c r="O962" s="1">
        <v>12327</v>
      </c>
      <c r="P962" s="1">
        <v>3413</v>
      </c>
      <c r="Q962" s="1" t="s">
        <v>42</v>
      </c>
      <c r="S962" s="1" t="s">
        <v>42</v>
      </c>
      <c r="T962" s="1" t="s">
        <v>153</v>
      </c>
      <c r="V962" s="5">
        <v>44209</v>
      </c>
      <c r="W962" s="5">
        <v>41976</v>
      </c>
      <c r="X962" s="1">
        <v>21000000</v>
      </c>
      <c r="Y962" s="1">
        <v>21000000</v>
      </c>
      <c r="Z962" s="5">
        <v>41976</v>
      </c>
      <c r="AA962" s="1">
        <v>20365000</v>
      </c>
      <c r="AB962" s="1" t="s">
        <v>798</v>
      </c>
      <c r="AC962" s="5">
        <v>42303</v>
      </c>
      <c r="AF962" s="1">
        <v>10013</v>
      </c>
      <c r="AI962" s="1" t="s">
        <v>799</v>
      </c>
      <c r="AJ962" s="1">
        <v>2015</v>
      </c>
      <c r="AK962" s="1" t="s">
        <v>49</v>
      </c>
      <c r="AL962" s="1">
        <v>33</v>
      </c>
    </row>
    <row r="963" spans="1:38" x14ac:dyDescent="0.2">
      <c r="A963" s="2" t="str">
        <f>HYPERLINK("https://www.compass.com/listing/71-laight-street-unit-2c-manhattan-ny-10013/70911683610047793/","71 Laight St, Unit 2C")</f>
        <v>71 Laight St, Unit 2C</v>
      </c>
      <c r="B963" s="2" t="str">
        <f t="shared" si="139"/>
        <v>The Sterling Mason</v>
      </c>
      <c r="C963" s="1" t="s">
        <v>65</v>
      </c>
      <c r="D963" s="1" t="s">
        <v>41</v>
      </c>
      <c r="E963" s="3">
        <v>10131588</v>
      </c>
      <c r="F963" s="1">
        <v>2732.3592233009699</v>
      </c>
      <c r="G963" s="1">
        <v>14</v>
      </c>
      <c r="H963" s="1">
        <v>5</v>
      </c>
      <c r="I963" s="1">
        <v>6</v>
      </c>
      <c r="J963" s="1">
        <v>5.5</v>
      </c>
      <c r="K963" s="1">
        <v>5</v>
      </c>
      <c r="L963" s="1">
        <v>1</v>
      </c>
      <c r="M963" s="4">
        <v>3708</v>
      </c>
      <c r="N963" s="1">
        <v>5902</v>
      </c>
      <c r="O963" s="1">
        <v>8161</v>
      </c>
      <c r="P963" s="1">
        <v>2259</v>
      </c>
      <c r="Q963" s="1" t="s">
        <v>42</v>
      </c>
      <c r="S963" s="1" t="s">
        <v>42</v>
      </c>
      <c r="T963" s="1" t="s">
        <v>153</v>
      </c>
      <c r="U963" s="1">
        <v>74</v>
      </c>
      <c r="V963" s="5">
        <v>44225</v>
      </c>
      <c r="W963" s="5">
        <v>41976</v>
      </c>
      <c r="X963" s="1">
        <v>9950000</v>
      </c>
      <c r="Y963" s="1">
        <v>9950000</v>
      </c>
      <c r="Z963" s="5">
        <v>42050</v>
      </c>
      <c r="AA963" s="1">
        <v>10131588</v>
      </c>
      <c r="AB963" s="1" t="s">
        <v>800</v>
      </c>
      <c r="AC963" s="5">
        <v>42257</v>
      </c>
      <c r="AF963" s="1">
        <v>10013</v>
      </c>
      <c r="AI963" s="1" t="s">
        <v>66</v>
      </c>
      <c r="AJ963" s="1">
        <v>2015</v>
      </c>
      <c r="AK963" s="1" t="s">
        <v>49</v>
      </c>
      <c r="AL963" s="1">
        <v>33</v>
      </c>
    </row>
    <row r="964" spans="1:38" x14ac:dyDescent="0.2">
      <c r="A964" s="2" t="str">
        <f>HYPERLINK("https://www.compass.com/listing/101-leonard-street-unit-phb-manhattan-ny-10013/4852266587996044161/","101 Leonard St, Unit PHB")</f>
        <v>101 Leonard St, Unit PHB</v>
      </c>
      <c r="B964" s="2" t="str">
        <f t="shared" ref="B964:B970" si="140">HYPERLINK("https://www.compass.com/building/the-leonard-manhattan-ny/281919139939910965/","The Leonard")</f>
        <v>The Leonard</v>
      </c>
      <c r="C964" s="1" t="s">
        <v>65</v>
      </c>
      <c r="D964" s="1" t="s">
        <v>41</v>
      </c>
      <c r="E964" s="3">
        <v>5498550</v>
      </c>
      <c r="F964" s="1">
        <v>2063.2457786116302</v>
      </c>
      <c r="G964" s="1">
        <v>10</v>
      </c>
      <c r="H964" s="1">
        <v>3</v>
      </c>
      <c r="I964" s="1">
        <v>4</v>
      </c>
      <c r="J964" s="1">
        <v>4</v>
      </c>
      <c r="M964" s="4">
        <v>2665</v>
      </c>
      <c r="N964" s="1">
        <v>3038</v>
      </c>
      <c r="O964" s="1">
        <v>6057</v>
      </c>
      <c r="P964" s="1">
        <v>3019</v>
      </c>
      <c r="Q964" s="1" t="s">
        <v>42</v>
      </c>
      <c r="S964" s="1" t="s">
        <v>42</v>
      </c>
      <c r="T964" s="1" t="s">
        <v>153</v>
      </c>
      <c r="U964" s="1">
        <v>126</v>
      </c>
      <c r="V964" s="5">
        <v>43623</v>
      </c>
      <c r="W964" s="5">
        <v>41976</v>
      </c>
      <c r="X964" s="1">
        <v>5500000</v>
      </c>
      <c r="Y964" s="1">
        <v>5500000</v>
      </c>
      <c r="Z964" s="5">
        <v>42102</v>
      </c>
      <c r="AA964" s="1">
        <v>5498550</v>
      </c>
      <c r="AB964" s="1" t="s">
        <v>801</v>
      </c>
      <c r="AC964" s="5">
        <v>42116</v>
      </c>
      <c r="AF964" s="1">
        <v>10013</v>
      </c>
      <c r="AI964" s="1" t="s">
        <v>55</v>
      </c>
      <c r="AJ964" s="1">
        <v>2014</v>
      </c>
      <c r="AK964" s="1" t="s">
        <v>46</v>
      </c>
      <c r="AL964" s="1">
        <v>66</v>
      </c>
    </row>
    <row r="965" spans="1:38" x14ac:dyDescent="0.2">
      <c r="A965" s="2" t="str">
        <f>HYPERLINK("https://www.compass.com/listing/101-leonard-street-unit-3b-manhattan-ny-10013/4852317201492870753/","101 Leonard St, Unit 3B")</f>
        <v>101 Leonard St, Unit 3B</v>
      </c>
      <c r="B965" s="2" t="str">
        <f t="shared" si="140"/>
        <v>The Leonard</v>
      </c>
      <c r="C965" s="1" t="s">
        <v>65</v>
      </c>
      <c r="D965" s="1" t="s">
        <v>41</v>
      </c>
      <c r="E965" s="3">
        <v>3156575</v>
      </c>
      <c r="F965" s="1">
        <v>1739.1597796143201</v>
      </c>
      <c r="G965" s="1">
        <v>8</v>
      </c>
      <c r="H965" s="1">
        <v>3</v>
      </c>
      <c r="I965" s="1">
        <v>4</v>
      </c>
      <c r="J965" s="1">
        <v>4</v>
      </c>
      <c r="K965" s="1">
        <v>4</v>
      </c>
      <c r="M965" s="4">
        <v>1815</v>
      </c>
      <c r="N965" s="1">
        <v>1980</v>
      </c>
      <c r="O965" s="1">
        <v>3947</v>
      </c>
      <c r="P965" s="1">
        <v>1967</v>
      </c>
      <c r="Q965" s="1" t="s">
        <v>42</v>
      </c>
      <c r="S965" s="1" t="s">
        <v>42</v>
      </c>
      <c r="T965" s="1" t="s">
        <v>153</v>
      </c>
      <c r="U965" s="1">
        <v>109</v>
      </c>
      <c r="V965" s="5">
        <v>44245</v>
      </c>
      <c r="W965" s="5">
        <v>41513</v>
      </c>
      <c r="X965" s="1">
        <v>3100000</v>
      </c>
      <c r="Y965" s="1">
        <v>3100000</v>
      </c>
      <c r="Z965" s="5">
        <v>41622</v>
      </c>
      <c r="AA965" s="1">
        <v>3156575</v>
      </c>
      <c r="AB965" s="1" t="s">
        <v>802</v>
      </c>
      <c r="AC965" s="5">
        <v>41975</v>
      </c>
      <c r="AF965" s="1">
        <v>10013</v>
      </c>
      <c r="AI965" s="1" t="s">
        <v>55</v>
      </c>
      <c r="AJ965" s="1">
        <v>2014</v>
      </c>
      <c r="AK965" s="1" t="s">
        <v>49</v>
      </c>
      <c r="AL965" s="1">
        <v>66</v>
      </c>
    </row>
    <row r="966" spans="1:38" x14ac:dyDescent="0.2">
      <c r="A966" s="2" t="str">
        <f>HYPERLINK("https://www.compass.com/listing/101-leonard-street-unit-9e-manhattan-ny-10013/29358432318519233/","101 Leonard St, Unit 9E")</f>
        <v>101 Leonard St, Unit 9E</v>
      </c>
      <c r="B966" s="2" t="str">
        <f t="shared" si="140"/>
        <v>The Leonard</v>
      </c>
      <c r="C966" s="1" t="s">
        <v>65</v>
      </c>
      <c r="D966" s="1" t="s">
        <v>41</v>
      </c>
      <c r="E966" s="3">
        <v>3294038</v>
      </c>
      <c r="F966" s="1">
        <v>1669.5580334515901</v>
      </c>
      <c r="G966" s="1">
        <v>7</v>
      </c>
      <c r="H966" s="1">
        <v>3</v>
      </c>
      <c r="I966" s="1">
        <v>3</v>
      </c>
      <c r="J966" s="1">
        <v>3</v>
      </c>
      <c r="M966" s="4">
        <v>1973</v>
      </c>
      <c r="N966" s="1">
        <v>2205</v>
      </c>
      <c r="O966" s="1">
        <v>4396</v>
      </c>
      <c r="P966" s="1">
        <v>2191</v>
      </c>
      <c r="Q966" s="1" t="s">
        <v>42</v>
      </c>
      <c r="S966" s="1" t="s">
        <v>42</v>
      </c>
      <c r="T966" s="1" t="s">
        <v>153</v>
      </c>
      <c r="V966" s="5">
        <v>43655</v>
      </c>
      <c r="W966" s="5">
        <v>41516</v>
      </c>
      <c r="X966" s="1">
        <v>3235000</v>
      </c>
      <c r="Y966" s="1">
        <v>3235000</v>
      </c>
      <c r="Z966" s="5">
        <v>41516</v>
      </c>
      <c r="AA966" s="1">
        <v>3294038</v>
      </c>
      <c r="AB966" s="1" t="s">
        <v>803</v>
      </c>
      <c r="AC966" s="5">
        <v>41954</v>
      </c>
      <c r="AF966" s="1">
        <v>10013</v>
      </c>
      <c r="AI966" s="1" t="s">
        <v>55</v>
      </c>
      <c r="AJ966" s="1">
        <v>2014</v>
      </c>
      <c r="AK966" s="1" t="s">
        <v>46</v>
      </c>
      <c r="AL966" s="1">
        <v>66</v>
      </c>
    </row>
    <row r="967" spans="1:38" x14ac:dyDescent="0.2">
      <c r="A967" s="2" t="str">
        <f>HYPERLINK("https://www.compass.com/listing/101-leonard-street-unit-7c-manhattan-ny-10013/29358430967953329/","101 Leonard St, Unit 7C")</f>
        <v>101 Leonard St, Unit 7C</v>
      </c>
      <c r="B967" s="2" t="str">
        <f t="shared" si="140"/>
        <v>The Leonard</v>
      </c>
      <c r="C967" s="1" t="s">
        <v>65</v>
      </c>
      <c r="D967" s="1" t="s">
        <v>41</v>
      </c>
      <c r="E967" s="3">
        <v>1792120</v>
      </c>
      <c r="F967" s="1">
        <v>1884.45846477392</v>
      </c>
      <c r="G967" s="1">
        <v>4</v>
      </c>
      <c r="H967" s="1">
        <v>1</v>
      </c>
      <c r="I967" s="1">
        <v>2</v>
      </c>
      <c r="J967" s="1">
        <v>1.5</v>
      </c>
      <c r="K967" s="1">
        <v>1</v>
      </c>
      <c r="L967" s="1">
        <v>1</v>
      </c>
      <c r="M967" s="1">
        <v>951</v>
      </c>
      <c r="N967" s="1">
        <v>1058</v>
      </c>
      <c r="O967" s="1">
        <v>2109</v>
      </c>
      <c r="P967" s="1">
        <v>1051</v>
      </c>
      <c r="Q967" s="1" t="s">
        <v>42</v>
      </c>
      <c r="S967" s="1" t="s">
        <v>42</v>
      </c>
      <c r="T967" s="1" t="s">
        <v>153</v>
      </c>
      <c r="U967" s="1">
        <v>57</v>
      </c>
      <c r="V967" s="5">
        <v>44245</v>
      </c>
      <c r="W967" s="5">
        <v>41649</v>
      </c>
      <c r="X967" s="1">
        <v>1760000</v>
      </c>
      <c r="Y967" s="1">
        <v>1760000</v>
      </c>
      <c r="Z967" s="5">
        <v>41706</v>
      </c>
      <c r="AA967" s="1">
        <v>1792120</v>
      </c>
      <c r="AB967" s="1" t="s">
        <v>804</v>
      </c>
      <c r="AC967" s="5">
        <v>41955</v>
      </c>
      <c r="AF967" s="1">
        <v>10013</v>
      </c>
      <c r="AI967" s="1" t="s">
        <v>55</v>
      </c>
      <c r="AJ967" s="1">
        <v>2014</v>
      </c>
      <c r="AK967" s="1" t="s">
        <v>49</v>
      </c>
      <c r="AL967" s="1">
        <v>66</v>
      </c>
    </row>
    <row r="968" spans="1:38" x14ac:dyDescent="0.2">
      <c r="A968" s="2" t="str">
        <f>HYPERLINK("https://www.compass.com/listing/101-leonard-street-unit-11c-manhattan-ny-10013/4852316361122123153/","101 Leonard St, Unit 11C")</f>
        <v>101 Leonard St, Unit 11C</v>
      </c>
      <c r="B968" s="2" t="str">
        <f t="shared" si="140"/>
        <v>The Leonard</v>
      </c>
      <c r="C968" s="1" t="s">
        <v>65</v>
      </c>
      <c r="D968" s="1" t="s">
        <v>41</v>
      </c>
      <c r="E968" s="3">
        <v>1832850</v>
      </c>
      <c r="F968" s="1">
        <v>1927.28706624605</v>
      </c>
      <c r="G968" s="1">
        <v>3</v>
      </c>
      <c r="H968" s="1">
        <v>1</v>
      </c>
      <c r="I968" s="1">
        <v>2</v>
      </c>
      <c r="J968" s="1">
        <v>1.5</v>
      </c>
      <c r="M968" s="1">
        <v>951</v>
      </c>
      <c r="N968" s="1">
        <v>1079</v>
      </c>
      <c r="O968" s="1">
        <v>2151</v>
      </c>
      <c r="P968" s="1">
        <v>1072</v>
      </c>
      <c r="Q968" s="1" t="s">
        <v>42</v>
      </c>
      <c r="S968" s="1" t="s">
        <v>42</v>
      </c>
      <c r="T968" s="1" t="s">
        <v>153</v>
      </c>
      <c r="U968" s="1">
        <v>58</v>
      </c>
      <c r="V968" s="5">
        <v>43654</v>
      </c>
      <c r="W968" s="5">
        <v>41585</v>
      </c>
      <c r="X968" s="1">
        <v>1800000</v>
      </c>
      <c r="Y968" s="1">
        <v>1800000</v>
      </c>
      <c r="Z968" s="5">
        <v>41649</v>
      </c>
      <c r="AA968" s="1">
        <v>1832850</v>
      </c>
      <c r="AB968" s="1" t="s">
        <v>805</v>
      </c>
      <c r="AC968" s="5">
        <v>41975</v>
      </c>
      <c r="AF968" s="1">
        <v>10013</v>
      </c>
      <c r="AI968" s="1" t="s">
        <v>55</v>
      </c>
      <c r="AJ968" s="1">
        <v>2014</v>
      </c>
      <c r="AK968" s="1" t="s">
        <v>49</v>
      </c>
      <c r="AL968" s="1">
        <v>66</v>
      </c>
    </row>
    <row r="969" spans="1:38" x14ac:dyDescent="0.2">
      <c r="A969" s="2" t="str">
        <f>HYPERLINK("https://www.compass.com/listing/101-leonard-street-unit-3a-manhattan-ny-10013/29358426773555105/","101 Leonard St, Unit 3A")</f>
        <v>101 Leonard St, Unit 3A</v>
      </c>
      <c r="B969" s="2" t="str">
        <f t="shared" si="140"/>
        <v>The Leonard</v>
      </c>
      <c r="C969" s="1" t="s">
        <v>65</v>
      </c>
      <c r="D969" s="1" t="s">
        <v>41</v>
      </c>
      <c r="E969" s="3">
        <v>1425550</v>
      </c>
      <c r="F969" s="1">
        <v>1707.2455089820301</v>
      </c>
      <c r="G969" s="1">
        <v>3</v>
      </c>
      <c r="H969" s="1">
        <v>1</v>
      </c>
      <c r="I969" s="1">
        <v>1</v>
      </c>
      <c r="J969" s="1">
        <v>1</v>
      </c>
      <c r="M969" s="1">
        <v>835</v>
      </c>
      <c r="N969" s="1">
        <v>911</v>
      </c>
      <c r="O969" s="1">
        <v>1816</v>
      </c>
      <c r="P969" s="1">
        <v>905</v>
      </c>
      <c r="Q969" s="1" t="s">
        <v>42</v>
      </c>
      <c r="S969" s="1" t="s">
        <v>42</v>
      </c>
      <c r="T969" s="1" t="s">
        <v>153</v>
      </c>
      <c r="V969" s="5">
        <v>43623</v>
      </c>
      <c r="W969" s="5">
        <v>41492</v>
      </c>
      <c r="X969" s="1">
        <v>1400000</v>
      </c>
      <c r="Y969" s="1">
        <v>1400000</v>
      </c>
      <c r="Z969" s="5">
        <v>41492</v>
      </c>
      <c r="AA969" s="1">
        <v>1425550</v>
      </c>
      <c r="AB969" s="1" t="s">
        <v>806</v>
      </c>
      <c r="AC969" s="5">
        <v>41953</v>
      </c>
      <c r="AF969" s="1">
        <v>10013</v>
      </c>
      <c r="AI969" s="1" t="s">
        <v>55</v>
      </c>
      <c r="AJ969" s="1">
        <v>2014</v>
      </c>
      <c r="AK969" s="1" t="s">
        <v>49</v>
      </c>
      <c r="AL969" s="1">
        <v>66</v>
      </c>
    </row>
    <row r="970" spans="1:38" x14ac:dyDescent="0.2">
      <c r="A970" s="2" t="str">
        <f>HYPERLINK("https://www.compass.com/listing/101-leonard-street-unit-2a-manhattan-ny-10013/4852330020728743537/","101 Leonard St, Unit 2A")</f>
        <v>101 Leonard St, Unit 2A</v>
      </c>
      <c r="B970" s="2" t="str">
        <f t="shared" si="140"/>
        <v>The Leonard</v>
      </c>
      <c r="C970" s="1" t="s">
        <v>65</v>
      </c>
      <c r="D970" s="1" t="s">
        <v>41</v>
      </c>
      <c r="E970" s="3">
        <v>1323725</v>
      </c>
      <c r="F970" s="1">
        <v>1585.2994011976</v>
      </c>
      <c r="G970" s="1">
        <v>3</v>
      </c>
      <c r="H970" s="1">
        <v>1</v>
      </c>
      <c r="I970" s="1">
        <v>1</v>
      </c>
      <c r="J970" s="1">
        <v>1</v>
      </c>
      <c r="M970" s="1">
        <v>835</v>
      </c>
      <c r="N970" s="1">
        <v>907</v>
      </c>
      <c r="O970" s="1">
        <v>1808</v>
      </c>
      <c r="P970" s="1">
        <v>901</v>
      </c>
      <c r="Q970" s="1" t="s">
        <v>42</v>
      </c>
      <c r="S970" s="1" t="s">
        <v>42</v>
      </c>
      <c r="T970" s="1" t="s">
        <v>153</v>
      </c>
      <c r="U970" s="1">
        <v>40</v>
      </c>
      <c r="V970" s="5">
        <v>43654</v>
      </c>
      <c r="W970" s="5">
        <v>41473</v>
      </c>
      <c r="X970" s="1">
        <v>1300000</v>
      </c>
      <c r="Y970" s="1">
        <v>1300000</v>
      </c>
      <c r="Z970" s="5">
        <v>41513</v>
      </c>
      <c r="AA970" s="1">
        <v>1323725</v>
      </c>
      <c r="AB970" s="1" t="s">
        <v>807</v>
      </c>
      <c r="AC970" s="5">
        <v>41963</v>
      </c>
      <c r="AF970" s="1">
        <v>10013</v>
      </c>
      <c r="AI970" s="1" t="s">
        <v>55</v>
      </c>
      <c r="AJ970" s="1">
        <v>2014</v>
      </c>
      <c r="AK970" s="1" t="s">
        <v>49</v>
      </c>
      <c r="AL970" s="1">
        <v>66</v>
      </c>
    </row>
    <row r="971" spans="1:38" x14ac:dyDescent="0.2">
      <c r="A971" s="2" t="str">
        <f>HYPERLINK("https://www.compass.com/listing/110-charlton-street-unit-8g-manhattan-ny-10014/795833216094806265/","110 Charlton St, Unit 8G")</f>
        <v>110 Charlton St, Unit 8G</v>
      </c>
      <c r="B971" s="2" t="str">
        <f>HYPERLINK("https://www.compass.com/building/greenwich-west-manhattan-ny/282058690331179733/","Greenwich West")</f>
        <v>Greenwich West</v>
      </c>
      <c r="C971" s="1" t="s">
        <v>72</v>
      </c>
      <c r="D971" s="1" t="s">
        <v>41</v>
      </c>
      <c r="E971" s="3">
        <v>1950000</v>
      </c>
      <c r="F971" s="1">
        <v>2166.6666666666601</v>
      </c>
      <c r="G971" s="1">
        <v>3</v>
      </c>
      <c r="H971" s="1">
        <v>1</v>
      </c>
      <c r="I971" s="1">
        <v>1</v>
      </c>
      <c r="J971" s="1">
        <v>1</v>
      </c>
      <c r="K971" s="1">
        <v>1</v>
      </c>
      <c r="M971" s="1">
        <v>900</v>
      </c>
      <c r="N971" s="1">
        <v>857.21</v>
      </c>
      <c r="O971" s="1">
        <v>2732.97</v>
      </c>
      <c r="P971" s="1">
        <v>1875.75</v>
      </c>
      <c r="Q971" s="1" t="s">
        <v>42</v>
      </c>
      <c r="S971" s="1" t="s">
        <v>42</v>
      </c>
      <c r="T971" s="1" t="s">
        <v>153</v>
      </c>
      <c r="V971" s="5">
        <v>44395</v>
      </c>
      <c r="W971" s="5">
        <v>44349</v>
      </c>
      <c r="X971" s="1">
        <v>1950000</v>
      </c>
      <c r="Y971" s="1">
        <v>1950000</v>
      </c>
      <c r="Z971" s="5">
        <v>44350</v>
      </c>
      <c r="AA971" s="1">
        <v>1950000</v>
      </c>
      <c r="AB971" s="1" t="s">
        <v>808</v>
      </c>
      <c r="AC971" s="5">
        <v>44390</v>
      </c>
      <c r="AF971" s="1">
        <v>10014</v>
      </c>
      <c r="AI971" s="1" t="s">
        <v>809</v>
      </c>
      <c r="AJ971" s="1">
        <v>2020</v>
      </c>
      <c r="AK971" s="1" t="s">
        <v>49</v>
      </c>
      <c r="AL971" s="1">
        <v>170</v>
      </c>
    </row>
    <row r="972" spans="1:38" x14ac:dyDescent="0.2">
      <c r="A972" s="2" t="str">
        <f>HYPERLINK("https://www.compass.com/listing/101-leonard-street-unit-8e-manhattan-ny-10013/29358431739606993/","101 Leonard St, Unit 8E")</f>
        <v>101 Leonard St, Unit 8E</v>
      </c>
      <c r="B972" s="2" t="str">
        <f t="shared" ref="B972:B977" si="141">HYPERLINK("https://www.compass.com/building/the-leonard-manhattan-ny/281919139939910965/","The Leonard")</f>
        <v>The Leonard</v>
      </c>
      <c r="C972" s="1" t="s">
        <v>65</v>
      </c>
      <c r="D972" s="1" t="s">
        <v>41</v>
      </c>
      <c r="E972" s="3">
        <v>4250000</v>
      </c>
      <c r="F972" s="1">
        <v>2165.0534895567998</v>
      </c>
      <c r="G972" s="1">
        <v>5</v>
      </c>
      <c r="H972" s="1">
        <v>3</v>
      </c>
      <c r="I972" s="1">
        <v>3</v>
      </c>
      <c r="J972" s="1">
        <v>3</v>
      </c>
      <c r="M972" s="4">
        <v>1963</v>
      </c>
      <c r="N972" s="1">
        <v>2195</v>
      </c>
      <c r="O972" s="1">
        <v>4375</v>
      </c>
      <c r="P972" s="1">
        <v>2180</v>
      </c>
      <c r="Q972" s="1" t="s">
        <v>42</v>
      </c>
      <c r="S972" s="1" t="s">
        <v>42</v>
      </c>
      <c r="T972" s="1" t="s">
        <v>153</v>
      </c>
      <c r="U972" s="1">
        <v>127</v>
      </c>
      <c r="V972" s="5">
        <v>43626</v>
      </c>
      <c r="W972" s="5">
        <v>42010</v>
      </c>
      <c r="X972" s="1">
        <v>4400000</v>
      </c>
      <c r="Y972" s="1">
        <v>4250000</v>
      </c>
      <c r="AA972" s="1">
        <v>4250000</v>
      </c>
      <c r="AB972" s="1" t="s">
        <v>177</v>
      </c>
      <c r="AC972" s="5">
        <v>42137</v>
      </c>
      <c r="AF972" s="1">
        <v>10013</v>
      </c>
      <c r="AI972" s="1" t="s">
        <v>55</v>
      </c>
      <c r="AJ972" s="1">
        <v>2014</v>
      </c>
      <c r="AK972" s="1" t="s">
        <v>46</v>
      </c>
      <c r="AL972" s="1">
        <v>66</v>
      </c>
    </row>
    <row r="973" spans="1:38" x14ac:dyDescent="0.2">
      <c r="A973" s="2" t="str">
        <f>HYPERLINK("https://www.compass.com/listing/101-leonard-street-unit-11e-manhattan-ny-10013/29358434147137521/","101 Leonard St, Unit 11E")</f>
        <v>101 Leonard St, Unit 11E</v>
      </c>
      <c r="B973" s="2" t="str">
        <f t="shared" si="141"/>
        <v>The Leonard</v>
      </c>
      <c r="C973" s="1" t="s">
        <v>65</v>
      </c>
      <c r="D973" s="1" t="s">
        <v>41</v>
      </c>
      <c r="E973" s="3">
        <v>3456959</v>
      </c>
      <c r="F973" s="1">
        <v>1752.1332995438399</v>
      </c>
      <c r="G973" s="1">
        <v>7</v>
      </c>
      <c r="H973" s="1">
        <v>3</v>
      </c>
      <c r="I973" s="1">
        <v>4</v>
      </c>
      <c r="J973" s="1">
        <v>3.5</v>
      </c>
      <c r="M973" s="4">
        <v>1973</v>
      </c>
      <c r="N973" s="1">
        <v>2238</v>
      </c>
      <c r="O973" s="1">
        <v>4461</v>
      </c>
      <c r="P973" s="1">
        <v>2223</v>
      </c>
      <c r="Q973" s="1" t="s">
        <v>42</v>
      </c>
      <c r="S973" s="1" t="s">
        <v>42</v>
      </c>
      <c r="T973" s="1" t="s">
        <v>153</v>
      </c>
      <c r="V973" s="5">
        <v>43654</v>
      </c>
      <c r="W973" s="5">
        <v>41534</v>
      </c>
      <c r="X973" s="1">
        <v>3295000</v>
      </c>
      <c r="Y973" s="1">
        <v>3295000</v>
      </c>
      <c r="Z973" s="5">
        <v>41534</v>
      </c>
      <c r="AA973" s="1">
        <v>3456959</v>
      </c>
      <c r="AB973" s="1" t="s">
        <v>810</v>
      </c>
      <c r="AC973" s="5">
        <v>41986</v>
      </c>
      <c r="AF973" s="1">
        <v>10013</v>
      </c>
      <c r="AI973" s="1" t="s">
        <v>55</v>
      </c>
      <c r="AJ973" s="1">
        <v>2014</v>
      </c>
      <c r="AK973" s="1" t="s">
        <v>49</v>
      </c>
      <c r="AL973" s="1">
        <v>66</v>
      </c>
    </row>
    <row r="974" spans="1:38" x14ac:dyDescent="0.2">
      <c r="A974" s="2" t="str">
        <f>HYPERLINK("https://www.compass.com/listing/101-leonard-street-unit-4a-manhattan-ny-10013/4852316366188843585/","101 Leonard St, Unit 4A")</f>
        <v>101 Leonard St, Unit 4A</v>
      </c>
      <c r="B974" s="2" t="str">
        <f t="shared" si="141"/>
        <v>The Leonard</v>
      </c>
      <c r="C974" s="1" t="s">
        <v>65</v>
      </c>
      <c r="D974" s="1" t="s">
        <v>41</v>
      </c>
      <c r="E974" s="3">
        <v>1451006</v>
      </c>
      <c r="F974" s="1">
        <v>1737.73173652694</v>
      </c>
      <c r="G974" s="1">
        <v>3</v>
      </c>
      <c r="H974" s="1">
        <v>1</v>
      </c>
      <c r="I974" s="1">
        <v>1</v>
      </c>
      <c r="J974" s="1">
        <v>1</v>
      </c>
      <c r="M974" s="1">
        <v>835</v>
      </c>
      <c r="N974" s="1">
        <v>916</v>
      </c>
      <c r="O974" s="1">
        <v>1826</v>
      </c>
      <c r="P974" s="1">
        <v>910</v>
      </c>
      <c r="Q974" s="1" t="s">
        <v>42</v>
      </c>
      <c r="S974" s="1" t="s">
        <v>42</v>
      </c>
      <c r="T974" s="1" t="s">
        <v>153</v>
      </c>
      <c r="U974" s="1">
        <v>35</v>
      </c>
      <c r="V974" s="5">
        <v>43654</v>
      </c>
      <c r="W974" s="5">
        <v>41514</v>
      </c>
      <c r="X974" s="1">
        <v>1425000</v>
      </c>
      <c r="Y974" s="1">
        <v>1425000</v>
      </c>
      <c r="Z974" s="5">
        <v>41549</v>
      </c>
      <c r="AA974" s="1">
        <v>1451006</v>
      </c>
      <c r="AB974" s="1" t="s">
        <v>811</v>
      </c>
      <c r="AC974" s="5">
        <v>41985</v>
      </c>
      <c r="AF974" s="1">
        <v>10013</v>
      </c>
      <c r="AI974" s="1" t="s">
        <v>55</v>
      </c>
      <c r="AJ974" s="1">
        <v>2014</v>
      </c>
      <c r="AK974" s="1" t="s">
        <v>49</v>
      </c>
      <c r="AL974" s="1">
        <v>66</v>
      </c>
    </row>
    <row r="975" spans="1:38" x14ac:dyDescent="0.2">
      <c r="A975" s="2" t="str">
        <f>HYPERLINK("https://www.compass.com/listing/101-leonard-street-unit-3f-manhattan-ny-10013/29358428140894113/","101 Leonard St, Unit 3F")</f>
        <v>101 Leonard St, Unit 3F</v>
      </c>
      <c r="B975" s="2" t="str">
        <f t="shared" si="141"/>
        <v>The Leonard</v>
      </c>
      <c r="C975" s="1" t="s">
        <v>65</v>
      </c>
      <c r="D975" s="1" t="s">
        <v>41</v>
      </c>
      <c r="E975" s="3">
        <v>2000861</v>
      </c>
      <c r="F975" s="1">
        <v>1569.3027450980301</v>
      </c>
      <c r="G975" s="1">
        <v>4</v>
      </c>
      <c r="H975" s="1">
        <v>2</v>
      </c>
      <c r="I975" s="1">
        <v>2</v>
      </c>
      <c r="J975" s="1">
        <v>2</v>
      </c>
      <c r="M975" s="4">
        <v>1275</v>
      </c>
      <c r="N975" s="1">
        <v>1391</v>
      </c>
      <c r="O975" s="1">
        <v>2773</v>
      </c>
      <c r="P975" s="1">
        <v>1382</v>
      </c>
      <c r="Q975" s="1" t="s">
        <v>42</v>
      </c>
      <c r="S975" s="1" t="s">
        <v>42</v>
      </c>
      <c r="T975" s="1" t="s">
        <v>153</v>
      </c>
      <c r="U975" s="1">
        <v>255</v>
      </c>
      <c r="V975" s="5">
        <v>43654</v>
      </c>
      <c r="W975" s="5">
        <v>41976</v>
      </c>
      <c r="X975" s="1">
        <v>2350000</v>
      </c>
      <c r="Y975" s="1">
        <v>2000000</v>
      </c>
      <c r="Z975" s="5">
        <v>42231</v>
      </c>
      <c r="AA975" s="1">
        <v>2000861</v>
      </c>
      <c r="AB975" s="1" t="s">
        <v>812</v>
      </c>
      <c r="AC975" s="5">
        <v>42283</v>
      </c>
      <c r="AF975" s="1">
        <v>10013</v>
      </c>
      <c r="AI975" s="1" t="s">
        <v>55</v>
      </c>
      <c r="AJ975" s="1">
        <v>2014</v>
      </c>
      <c r="AK975" s="1" t="s">
        <v>46</v>
      </c>
      <c r="AL975" s="1">
        <v>66</v>
      </c>
    </row>
    <row r="976" spans="1:38" x14ac:dyDescent="0.2">
      <c r="A976" s="2" t="str">
        <f>HYPERLINK("https://www.compass.com/listing/101-leonard-street-unit-9a-manhattan-ny-10013/206521418446274705/","101 Leonard St, Unit 9A")</f>
        <v>101 Leonard St, Unit 9A</v>
      </c>
      <c r="B976" s="2" t="str">
        <f t="shared" si="141"/>
        <v>The Leonard</v>
      </c>
      <c r="C976" s="1" t="s">
        <v>65</v>
      </c>
      <c r="D976" s="1" t="s">
        <v>41</v>
      </c>
      <c r="E976" s="3">
        <v>1925000</v>
      </c>
      <c r="F976" s="1">
        <v>1669.5576756287901</v>
      </c>
      <c r="G976" s="1">
        <v>4</v>
      </c>
      <c r="H976" s="1">
        <v>2</v>
      </c>
      <c r="I976" s="1">
        <v>2</v>
      </c>
      <c r="J976" s="1">
        <v>2</v>
      </c>
      <c r="K976" s="1">
        <v>2</v>
      </c>
      <c r="M976" s="4">
        <v>1153</v>
      </c>
      <c r="N976" s="1">
        <v>1540</v>
      </c>
      <c r="O976" s="1">
        <v>3152</v>
      </c>
      <c r="P976" s="1">
        <v>1612</v>
      </c>
      <c r="Q976" s="1" t="s">
        <v>42</v>
      </c>
      <c r="S976" s="1" t="s">
        <v>42</v>
      </c>
      <c r="T976" s="1" t="s">
        <v>153</v>
      </c>
      <c r="U976" s="1">
        <v>267</v>
      </c>
      <c r="V976" s="5">
        <v>43892</v>
      </c>
      <c r="W976" s="5">
        <v>43537</v>
      </c>
      <c r="X976" s="1">
        <v>2350000</v>
      </c>
      <c r="Y976" s="1">
        <v>1925000</v>
      </c>
      <c r="Z976" s="5">
        <v>43819</v>
      </c>
      <c r="AA976" s="1">
        <v>1925000</v>
      </c>
      <c r="AB976" s="1" t="s">
        <v>813</v>
      </c>
      <c r="AC976" s="5">
        <v>43881</v>
      </c>
      <c r="AF976" s="1">
        <v>10013</v>
      </c>
      <c r="AI976" s="1" t="s">
        <v>55</v>
      </c>
      <c r="AJ976" s="1">
        <v>2014</v>
      </c>
      <c r="AK976" s="1" t="s">
        <v>49</v>
      </c>
      <c r="AL976" s="1">
        <v>66</v>
      </c>
    </row>
    <row r="977" spans="1:38" x14ac:dyDescent="0.2">
      <c r="A977" s="2" t="str">
        <f>HYPERLINK("https://www.compass.com/listing/101-leonard-street-unit-6c-manhattan-ny-10013/132531440490384353/","101 Leonard St, Unit 6C")</f>
        <v>101 Leonard St, Unit 6C</v>
      </c>
      <c r="B977" s="2" t="str">
        <f t="shared" si="141"/>
        <v>The Leonard</v>
      </c>
      <c r="C977" s="1" t="s">
        <v>65</v>
      </c>
      <c r="D977" s="1" t="s">
        <v>41</v>
      </c>
      <c r="E977" s="3">
        <v>1340000</v>
      </c>
      <c r="F977" s="1">
        <v>1409.0431125131399</v>
      </c>
      <c r="G977" s="1">
        <v>3</v>
      </c>
      <c r="H977" s="1">
        <v>1</v>
      </c>
      <c r="I977" s="1">
        <v>2</v>
      </c>
      <c r="J977" s="1">
        <v>1.5</v>
      </c>
      <c r="K977" s="1">
        <v>1</v>
      </c>
      <c r="L977" s="1">
        <v>1</v>
      </c>
      <c r="M977" s="1">
        <v>951</v>
      </c>
      <c r="N977" s="1">
        <v>1057</v>
      </c>
      <c r="O977" s="1">
        <v>2457</v>
      </c>
      <c r="P977" s="1">
        <v>1400</v>
      </c>
      <c r="Q977" s="1" t="s">
        <v>42</v>
      </c>
      <c r="S977" s="1" t="s">
        <v>42</v>
      </c>
      <c r="T977" s="1" t="s">
        <v>153</v>
      </c>
      <c r="U977" s="1">
        <v>368</v>
      </c>
      <c r="V977" s="5">
        <v>44057</v>
      </c>
      <c r="W977" s="5">
        <v>43435</v>
      </c>
      <c r="X977" s="1">
        <v>1590000</v>
      </c>
      <c r="Y977" s="1">
        <v>1380000</v>
      </c>
      <c r="AA977" s="1">
        <v>1340000</v>
      </c>
      <c r="AB977" s="1" t="s">
        <v>814</v>
      </c>
      <c r="AC977" s="5">
        <v>43803</v>
      </c>
      <c r="AF977" s="1">
        <v>10013</v>
      </c>
      <c r="AI977" s="1" t="s">
        <v>87</v>
      </c>
      <c r="AJ977" s="1">
        <v>2014</v>
      </c>
      <c r="AK977" s="1" t="s">
        <v>49</v>
      </c>
      <c r="AL977" s="1">
        <v>66</v>
      </c>
    </row>
    <row r="978" spans="1:38" x14ac:dyDescent="0.2">
      <c r="A978" s="2" t="str">
        <f>HYPERLINK("https://www.compass.com/listing/110-charlton-street-unit-12g-manhattan-ny-10014/784186553810123769/","110 Charlton St, Unit 12G")</f>
        <v>110 Charlton St, Unit 12G</v>
      </c>
      <c r="B978" s="2" t="str">
        <f>HYPERLINK("https://www.compass.com/building/greenwich-west-manhattan-ny/282058690331179733/","Greenwich West")</f>
        <v>Greenwich West</v>
      </c>
      <c r="C978" s="1" t="s">
        <v>72</v>
      </c>
      <c r="D978" s="1" t="s">
        <v>41</v>
      </c>
      <c r="E978" s="3">
        <v>1727500</v>
      </c>
      <c r="F978" s="1">
        <v>1913.0675526024299</v>
      </c>
      <c r="G978" s="1">
        <v>3</v>
      </c>
      <c r="H978" s="1">
        <v>1</v>
      </c>
      <c r="I978" s="1">
        <v>1</v>
      </c>
      <c r="J978" s="1">
        <v>1</v>
      </c>
      <c r="K978" s="1">
        <v>1</v>
      </c>
      <c r="M978" s="1">
        <v>903</v>
      </c>
      <c r="N978" s="1">
        <v>812</v>
      </c>
      <c r="O978" s="1">
        <v>2771</v>
      </c>
      <c r="P978" s="1">
        <v>1959</v>
      </c>
      <c r="Q978" s="1" t="s">
        <v>42</v>
      </c>
      <c r="S978" s="1" t="s">
        <v>42</v>
      </c>
      <c r="T978" s="1" t="s">
        <v>153</v>
      </c>
      <c r="U978" s="1">
        <v>50</v>
      </c>
      <c r="V978" s="5">
        <v>44395</v>
      </c>
      <c r="W978" s="5">
        <v>44333</v>
      </c>
      <c r="X978" s="1">
        <v>1775000</v>
      </c>
      <c r="Y978" s="1">
        <v>1775000</v>
      </c>
      <c r="Z978" s="5">
        <v>44384</v>
      </c>
      <c r="AA978" s="1">
        <v>1727500</v>
      </c>
      <c r="AB978" s="1" t="s">
        <v>815</v>
      </c>
      <c r="AC978" s="5">
        <v>44392</v>
      </c>
      <c r="AF978" s="1">
        <v>10014</v>
      </c>
      <c r="AI978" s="1" t="s">
        <v>51</v>
      </c>
      <c r="AJ978" s="1">
        <v>2020</v>
      </c>
      <c r="AK978" s="1" t="s">
        <v>49</v>
      </c>
      <c r="AL978" s="1">
        <v>170</v>
      </c>
    </row>
    <row r="979" spans="1:38" x14ac:dyDescent="0.2">
      <c r="A979" s="2" t="str">
        <f>HYPERLINK("https://www.compass.com/listing/71-laight-street-unit-4d-manhattan-ny-10013/4852351973397118625/","71 Laight St, Unit 4D")</f>
        <v>71 Laight St, Unit 4D</v>
      </c>
      <c r="B979" s="2" t="str">
        <f t="shared" ref="B979:B980" si="142">HYPERLINK("https://www.compass.com/building/the-sterling-mason-manhattan-ny/281919618778432805/","The Sterling Mason")</f>
        <v>The Sterling Mason</v>
      </c>
      <c r="C979" s="1" t="s">
        <v>65</v>
      </c>
      <c r="D979" s="1" t="s">
        <v>41</v>
      </c>
      <c r="E979" s="3">
        <v>8500000</v>
      </c>
      <c r="F979" s="1">
        <v>2621.0299105766198</v>
      </c>
      <c r="G979" s="1">
        <v>12</v>
      </c>
      <c r="H979" s="1">
        <v>4</v>
      </c>
      <c r="I979" s="1">
        <v>5</v>
      </c>
      <c r="J979" s="1">
        <v>4.5</v>
      </c>
      <c r="K979" s="1">
        <v>4</v>
      </c>
      <c r="L979" s="1">
        <v>1</v>
      </c>
      <c r="M979" s="4">
        <v>3243</v>
      </c>
      <c r="N979" s="1">
        <v>5213</v>
      </c>
      <c r="O979" s="1">
        <v>7209</v>
      </c>
      <c r="P979" s="1">
        <v>1996</v>
      </c>
      <c r="Q979" s="1" t="s">
        <v>42</v>
      </c>
      <c r="S979" s="1" t="s">
        <v>42</v>
      </c>
      <c r="T979" s="1" t="s">
        <v>153</v>
      </c>
      <c r="V979" s="5">
        <v>44348</v>
      </c>
      <c r="W979" s="5">
        <v>41976</v>
      </c>
      <c r="X979" s="1">
        <v>8500000</v>
      </c>
      <c r="Y979" s="1">
        <v>8500000</v>
      </c>
      <c r="Z979" s="5">
        <v>41976</v>
      </c>
      <c r="AA979" s="1">
        <v>8500000</v>
      </c>
      <c r="AB979" s="1" t="s">
        <v>177</v>
      </c>
      <c r="AC979" s="5">
        <v>42194</v>
      </c>
      <c r="AF979" s="1">
        <v>10013</v>
      </c>
      <c r="AI979" s="1" t="s">
        <v>66</v>
      </c>
      <c r="AJ979" s="1">
        <v>2015</v>
      </c>
      <c r="AK979" s="1" t="s">
        <v>49</v>
      </c>
      <c r="AL979" s="1">
        <v>33</v>
      </c>
    </row>
    <row r="980" spans="1:38" x14ac:dyDescent="0.2">
      <c r="A980" s="2" t="str">
        <f>HYPERLINK("https://www.compass.com/listing/71-laight-street-unit-1a-manhattan-ny-10013/29359344537625921/","71 Laight St, Unit 1A")</f>
        <v>71 Laight St, Unit 1A</v>
      </c>
      <c r="B980" s="2" t="str">
        <f t="shared" si="142"/>
        <v>The Sterling Mason</v>
      </c>
      <c r="C980" s="1" t="s">
        <v>65</v>
      </c>
      <c r="D980" s="1" t="s">
        <v>41</v>
      </c>
      <c r="E980" s="3">
        <v>5500000</v>
      </c>
      <c r="F980" s="1">
        <v>1777.6341305753001</v>
      </c>
      <c r="G980" s="1">
        <v>9</v>
      </c>
      <c r="H980" s="1">
        <v>3</v>
      </c>
      <c r="I980" s="1">
        <v>4</v>
      </c>
      <c r="J980" s="1">
        <v>4</v>
      </c>
      <c r="K980" s="1">
        <v>4</v>
      </c>
      <c r="M980" s="4">
        <v>3094</v>
      </c>
      <c r="N980" s="1">
        <v>4979</v>
      </c>
      <c r="O980" s="1">
        <v>6885</v>
      </c>
      <c r="P980" s="1">
        <v>1906</v>
      </c>
      <c r="Q980" s="1" t="s">
        <v>42</v>
      </c>
      <c r="S980" s="1" t="s">
        <v>42</v>
      </c>
      <c r="T980" s="1" t="s">
        <v>153</v>
      </c>
      <c r="V980" s="5">
        <v>44338</v>
      </c>
      <c r="W980" s="5">
        <v>41976</v>
      </c>
      <c r="X980" s="1">
        <v>5500000</v>
      </c>
      <c r="Y980" s="1">
        <v>5500000</v>
      </c>
      <c r="Z980" s="5">
        <v>41976</v>
      </c>
      <c r="AA980" s="1">
        <v>5500000</v>
      </c>
      <c r="AB980" s="1" t="s">
        <v>816</v>
      </c>
      <c r="AC980" s="5">
        <v>42411</v>
      </c>
      <c r="AF980" s="1">
        <v>10013</v>
      </c>
      <c r="AI980" s="1" t="s">
        <v>75</v>
      </c>
      <c r="AJ980" s="1">
        <v>2015</v>
      </c>
      <c r="AK980" s="1" t="s">
        <v>49</v>
      </c>
      <c r="AL980" s="1">
        <v>33</v>
      </c>
    </row>
    <row r="981" spans="1:38" x14ac:dyDescent="0.2">
      <c r="A981" s="2" t="str">
        <f>HYPERLINK("https://www.compass.com/listing/101-leonard-street-unit-8e-manhattan-ny-10013/79370516003030033/","101 Leonard St, Unit 8E")</f>
        <v>101 Leonard St, Unit 8E</v>
      </c>
      <c r="B981" s="2" t="str">
        <f>HYPERLINK("https://www.compass.com/building/the-leonard-manhattan-ny/281919139939910965/","The Leonard")</f>
        <v>The Leonard</v>
      </c>
      <c r="C981" s="1" t="s">
        <v>77</v>
      </c>
      <c r="D981" s="1" t="s">
        <v>41</v>
      </c>
      <c r="E981" s="3">
        <v>3885000</v>
      </c>
      <c r="F981" s="1">
        <v>1979.11360163015</v>
      </c>
      <c r="G981" s="1">
        <v>7</v>
      </c>
      <c r="H981" s="1">
        <v>3</v>
      </c>
      <c r="I981" s="1">
        <v>3</v>
      </c>
      <c r="J981" s="1">
        <v>3</v>
      </c>
      <c r="M981" s="4">
        <v>1963</v>
      </c>
      <c r="N981" s="1">
        <v>2195</v>
      </c>
      <c r="O981" s="1">
        <v>3450</v>
      </c>
      <c r="P981" s="1">
        <v>1255</v>
      </c>
      <c r="Q981" s="1" t="s">
        <v>42</v>
      </c>
      <c r="S981" s="1" t="s">
        <v>42</v>
      </c>
      <c r="T981" s="1" t="s">
        <v>153</v>
      </c>
      <c r="U981" s="1">
        <v>100</v>
      </c>
      <c r="V981" s="5">
        <v>42099</v>
      </c>
      <c r="W981" s="5">
        <v>41980</v>
      </c>
      <c r="X981" s="1">
        <v>4400000</v>
      </c>
      <c r="Y981" s="1">
        <v>4250000</v>
      </c>
      <c r="AA981" s="1">
        <v>3885000</v>
      </c>
      <c r="AB981" s="1" t="s">
        <v>817</v>
      </c>
      <c r="AC981" s="5">
        <v>42136</v>
      </c>
      <c r="AF981" s="1">
        <v>10013</v>
      </c>
      <c r="AI981" s="1" t="s">
        <v>55</v>
      </c>
      <c r="AJ981" s="1">
        <v>2014</v>
      </c>
      <c r="AK981" s="1" t="s">
        <v>49</v>
      </c>
      <c r="AL981" s="1">
        <v>66</v>
      </c>
    </row>
    <row r="982" spans="1:38" x14ac:dyDescent="0.2">
      <c r="A982" s="2" t="str">
        <f>HYPERLINK("https://www.compass.com/listing/10-madison-square-west-unit-4g-manhattan-ny-10010/29374718473793121/","10 Madison Sq W, Unit 4G")</f>
        <v>10 Madison Sq W, Unit 4G</v>
      </c>
      <c r="B982" s="2" t="str">
        <f>HYPERLINK("https://www.compass.com/building/10-madison-square-west-manhattan-ny/294838725091521285/","10 Madison Square West")</f>
        <v>10 Madison Square West</v>
      </c>
      <c r="C982" s="1" t="s">
        <v>108</v>
      </c>
      <c r="D982" s="1" t="s">
        <v>41</v>
      </c>
      <c r="E982" s="3">
        <v>5950000</v>
      </c>
      <c r="F982" s="1">
        <v>2527.61257434154</v>
      </c>
      <c r="G982" s="1">
        <v>4</v>
      </c>
      <c r="H982" s="1">
        <v>3</v>
      </c>
      <c r="I982" s="1">
        <v>4</v>
      </c>
      <c r="J982" s="1">
        <v>3.5</v>
      </c>
      <c r="K982" s="1">
        <v>3</v>
      </c>
      <c r="L982" s="1">
        <v>1</v>
      </c>
      <c r="M982" s="4">
        <v>2354</v>
      </c>
      <c r="N982" s="1">
        <v>2957</v>
      </c>
      <c r="O982" s="1">
        <v>7541</v>
      </c>
      <c r="P982" s="1">
        <v>4584</v>
      </c>
      <c r="Q982" s="1" t="s">
        <v>42</v>
      </c>
      <c r="S982" s="1" t="s">
        <v>42</v>
      </c>
      <c r="T982" s="1" t="s">
        <v>153</v>
      </c>
      <c r="U982" s="1">
        <v>147</v>
      </c>
      <c r="V982" s="5">
        <v>44180</v>
      </c>
      <c r="W982" s="5">
        <v>42927</v>
      </c>
      <c r="X982" s="1">
        <v>5999000</v>
      </c>
      <c r="Y982" s="1">
        <v>5995000</v>
      </c>
      <c r="Z982" s="5">
        <v>43074</v>
      </c>
      <c r="AA982" s="1">
        <v>5950000</v>
      </c>
      <c r="AB982" s="1" t="s">
        <v>818</v>
      </c>
      <c r="AC982" s="5">
        <v>43146</v>
      </c>
      <c r="AF982" s="1">
        <v>10010</v>
      </c>
      <c r="AI982" s="1" t="s">
        <v>80</v>
      </c>
      <c r="AJ982" s="1">
        <v>1915</v>
      </c>
      <c r="AK982" s="1" t="s">
        <v>478</v>
      </c>
      <c r="AL982" s="1">
        <v>125</v>
      </c>
    </row>
    <row r="983" spans="1:38" x14ac:dyDescent="0.2">
      <c r="A983" s="2" t="str">
        <f>HYPERLINK("https://www.compass.com/listing/101-leonard-street-unit-9e-manhattan-ny-10013/803325271918611169/","101 Leonard St, Unit 9E")</f>
        <v>101 Leonard St, Unit 9E</v>
      </c>
      <c r="B983" s="2" t="str">
        <f>HYPERLINK("https://www.compass.com/building/the-leonard-manhattan-ny/281919139939910965/","The Leonard")</f>
        <v>The Leonard</v>
      </c>
      <c r="C983" s="1" t="s">
        <v>77</v>
      </c>
      <c r="D983" s="1" t="s">
        <v>41</v>
      </c>
      <c r="E983" s="3">
        <v>2900000</v>
      </c>
      <c r="F983" s="1">
        <v>1469.84287886467</v>
      </c>
      <c r="G983" s="1">
        <v>7</v>
      </c>
      <c r="H983" s="1">
        <v>3</v>
      </c>
      <c r="I983" s="1">
        <v>3</v>
      </c>
      <c r="J983" s="1">
        <v>3</v>
      </c>
      <c r="K983" s="1">
        <v>3</v>
      </c>
      <c r="M983" s="4">
        <v>1973</v>
      </c>
      <c r="N983" s="1">
        <v>2546</v>
      </c>
      <c r="O983" s="1">
        <v>5960</v>
      </c>
      <c r="P983" s="1">
        <v>3414</v>
      </c>
      <c r="Q983" s="1" t="s">
        <v>42</v>
      </c>
      <c r="S983" s="1" t="s">
        <v>42</v>
      </c>
      <c r="T983" s="1" t="s">
        <v>153</v>
      </c>
      <c r="U983" s="1">
        <v>175</v>
      </c>
      <c r="V983" s="5">
        <v>43649</v>
      </c>
      <c r="W983" s="5">
        <v>43356</v>
      </c>
      <c r="X983" s="1">
        <v>3250000</v>
      </c>
      <c r="Y983" s="1">
        <v>3000000</v>
      </c>
      <c r="Z983" s="5">
        <v>43531</v>
      </c>
      <c r="AA983" s="1">
        <v>2900000</v>
      </c>
      <c r="AB983" s="1" t="s">
        <v>742</v>
      </c>
      <c r="AC983" s="5">
        <v>43633</v>
      </c>
      <c r="AF983" s="1">
        <v>10013</v>
      </c>
      <c r="AI983" s="1" t="s">
        <v>55</v>
      </c>
      <c r="AJ983" s="1">
        <v>2014</v>
      </c>
      <c r="AK983" s="1" t="s">
        <v>46</v>
      </c>
      <c r="AL983" s="1">
        <v>66</v>
      </c>
    </row>
    <row r="984" spans="1:38" x14ac:dyDescent="0.2">
      <c r="A984" s="2" t="str">
        <f>HYPERLINK("https://www.compass.com/listing/71-laight-street-unit-2e-manhattan-ny-10013/4852319567457816257/","71 Laight St, Unit 2E")</f>
        <v>71 Laight St, Unit 2E</v>
      </c>
      <c r="B984" s="2" t="str">
        <f>HYPERLINK("https://www.compass.com/building/the-sterling-mason-manhattan-ny/281919618778432805/","The Sterling Mason")</f>
        <v>The Sterling Mason</v>
      </c>
      <c r="C984" s="1" t="s">
        <v>65</v>
      </c>
      <c r="D984" s="1" t="s">
        <v>41</v>
      </c>
      <c r="E984" s="3">
        <v>5700000</v>
      </c>
      <c r="F984" s="1">
        <v>2492.3480542195002</v>
      </c>
      <c r="G984" s="1">
        <v>7</v>
      </c>
      <c r="H984" s="1">
        <v>3</v>
      </c>
      <c r="I984" s="1">
        <v>4</v>
      </c>
      <c r="J984" s="1">
        <v>3.5</v>
      </c>
      <c r="K984" s="1">
        <v>3</v>
      </c>
      <c r="L984" s="1">
        <v>1</v>
      </c>
      <c r="M984" s="4">
        <v>2287</v>
      </c>
      <c r="N984" s="1">
        <v>3640</v>
      </c>
      <c r="O984" s="1">
        <v>5034</v>
      </c>
      <c r="P984" s="1">
        <v>1394</v>
      </c>
      <c r="Q984" s="1" t="s">
        <v>42</v>
      </c>
      <c r="S984" s="1" t="s">
        <v>42</v>
      </c>
      <c r="T984" s="1" t="s">
        <v>153</v>
      </c>
      <c r="V984" s="5">
        <v>44414</v>
      </c>
      <c r="W984" s="5">
        <v>41976</v>
      </c>
      <c r="X984" s="1">
        <v>5700000</v>
      </c>
      <c r="Y984" s="1">
        <v>5700000</v>
      </c>
      <c r="Z984" s="5">
        <v>41976</v>
      </c>
      <c r="AA984" s="1">
        <v>5700000</v>
      </c>
      <c r="AB984" s="1" t="s">
        <v>177</v>
      </c>
      <c r="AC984" s="5">
        <v>42195</v>
      </c>
      <c r="AF984" s="1">
        <v>10013</v>
      </c>
      <c r="AI984" s="1" t="s">
        <v>66</v>
      </c>
      <c r="AJ984" s="1">
        <v>2015</v>
      </c>
      <c r="AK984" s="1" t="s">
        <v>49</v>
      </c>
      <c r="AL984" s="1">
        <v>33</v>
      </c>
    </row>
    <row r="985" spans="1:38" x14ac:dyDescent="0.2">
      <c r="A985" s="2" t="str">
        <f>HYPERLINK("https://www.compass.com/listing/101-leonard-street-unit-6a-manhattan-ny-10013/4792289628734377473/","101 Leonard St, Unit 6A")</f>
        <v>101 Leonard St, Unit 6A</v>
      </c>
      <c r="B985" s="2" t="str">
        <f t="shared" ref="B985:B986" si="143">HYPERLINK("https://www.compass.com/building/the-leonard-manhattan-ny/281919139939910965/","The Leonard")</f>
        <v>The Leonard</v>
      </c>
      <c r="C985" s="1" t="s">
        <v>65</v>
      </c>
      <c r="D985" s="1" t="s">
        <v>41</v>
      </c>
      <c r="E985" s="3">
        <v>1501918</v>
      </c>
      <c r="F985" s="1">
        <v>1798.70419161676</v>
      </c>
      <c r="G985" s="1">
        <v>3</v>
      </c>
      <c r="H985" s="1">
        <v>1</v>
      </c>
      <c r="I985" s="1">
        <v>1</v>
      </c>
      <c r="J985" s="1">
        <v>1</v>
      </c>
      <c r="K985" s="1">
        <v>1</v>
      </c>
      <c r="M985" s="1">
        <v>835</v>
      </c>
      <c r="N985" s="1">
        <v>925</v>
      </c>
      <c r="O985" s="1">
        <v>1844</v>
      </c>
      <c r="P985" s="1">
        <v>919</v>
      </c>
      <c r="Q985" s="1" t="s">
        <v>42</v>
      </c>
      <c r="S985" s="1" t="s">
        <v>42</v>
      </c>
      <c r="T985" s="1" t="s">
        <v>153</v>
      </c>
      <c r="V985" s="5">
        <v>43655</v>
      </c>
      <c r="W985" s="5">
        <v>41523</v>
      </c>
      <c r="X985" s="1">
        <v>1475000</v>
      </c>
      <c r="Y985" s="1">
        <v>1475000</v>
      </c>
      <c r="Z985" s="5">
        <v>41809</v>
      </c>
      <c r="AA985" s="1">
        <v>1501918</v>
      </c>
      <c r="AB985" s="1" t="s">
        <v>819</v>
      </c>
      <c r="AC985" s="5">
        <v>41958</v>
      </c>
      <c r="AF985" s="1">
        <v>10013</v>
      </c>
      <c r="AI985" s="1" t="s">
        <v>55</v>
      </c>
      <c r="AJ985" s="1">
        <v>2014</v>
      </c>
      <c r="AK985" s="1" t="s">
        <v>46</v>
      </c>
      <c r="AL985" s="1">
        <v>66</v>
      </c>
    </row>
    <row r="986" spans="1:38" x14ac:dyDescent="0.2">
      <c r="A986" s="2" t="str">
        <f>HYPERLINK("https://www.compass.com/listing/101-leonard-street-unit-loftc-manhattan-ny-10013/4852305572541766881/","101 Leonard St, Unit LOFTC")</f>
        <v>101 Leonard St, Unit LOFTC</v>
      </c>
      <c r="B986" s="2" t="str">
        <f t="shared" si="143"/>
        <v>The Leonard</v>
      </c>
      <c r="C986" s="1" t="s">
        <v>65</v>
      </c>
      <c r="D986" s="1" t="s">
        <v>41</v>
      </c>
      <c r="E986" s="3">
        <v>2138325</v>
      </c>
      <c r="F986" s="1">
        <v>1458.6118690313699</v>
      </c>
      <c r="G986" s="1">
        <v>5</v>
      </c>
      <c r="H986" s="1">
        <v>3</v>
      </c>
      <c r="I986" s="1">
        <v>2</v>
      </c>
      <c r="J986" s="1">
        <v>2</v>
      </c>
      <c r="K986" s="1">
        <v>2</v>
      </c>
      <c r="M986" s="4">
        <v>1466</v>
      </c>
      <c r="N986" s="1">
        <v>1584</v>
      </c>
      <c r="O986" s="1">
        <v>3157</v>
      </c>
      <c r="P986" s="1">
        <v>1573</v>
      </c>
      <c r="Q986" s="1" t="s">
        <v>42</v>
      </c>
      <c r="S986" s="1" t="s">
        <v>42</v>
      </c>
      <c r="T986" s="1" t="s">
        <v>153</v>
      </c>
      <c r="V986" s="5">
        <v>44355</v>
      </c>
      <c r="W986" s="5">
        <v>41508</v>
      </c>
      <c r="X986" s="1">
        <v>2100000</v>
      </c>
      <c r="Y986" s="1">
        <v>2100000</v>
      </c>
      <c r="Z986" s="5">
        <v>41508</v>
      </c>
      <c r="AA986" s="1">
        <v>2138325</v>
      </c>
      <c r="AB986" s="1" t="s">
        <v>820</v>
      </c>
      <c r="AC986" s="5">
        <v>41990</v>
      </c>
      <c r="AF986" s="1">
        <v>10013</v>
      </c>
      <c r="AI986" s="1" t="s">
        <v>55</v>
      </c>
      <c r="AJ986" s="1">
        <v>2014</v>
      </c>
      <c r="AK986" s="1" t="s">
        <v>49</v>
      </c>
      <c r="AL986" s="1">
        <v>66</v>
      </c>
    </row>
    <row r="987" spans="1:38" x14ac:dyDescent="0.2">
      <c r="A987" s="2" t="str">
        <f>HYPERLINK("https://www.compass.com/listing/71-laight-street-unit-2d-manhattan-ny-10013/4852319589276586145/","71 Laight St, Unit 2D")</f>
        <v>71 Laight St, Unit 2D</v>
      </c>
      <c r="B987" s="2" t="str">
        <f>HYPERLINK("https://www.compass.com/building/the-sterling-mason-manhattan-ny/281919618778432805/","The Sterling Mason")</f>
        <v>The Sterling Mason</v>
      </c>
      <c r="C987" s="1" t="s">
        <v>65</v>
      </c>
      <c r="D987" s="1" t="s">
        <v>41</v>
      </c>
      <c r="E987" s="3">
        <v>8350000</v>
      </c>
      <c r="F987" s="1">
        <v>2574.7764415664501</v>
      </c>
      <c r="G987" s="1">
        <v>12</v>
      </c>
      <c r="H987" s="1">
        <v>4</v>
      </c>
      <c r="I987" s="1">
        <v>5</v>
      </c>
      <c r="J987" s="1">
        <v>4.5</v>
      </c>
      <c r="K987" s="1">
        <v>4</v>
      </c>
      <c r="L987" s="1">
        <v>1</v>
      </c>
      <c r="M987" s="4">
        <v>3243</v>
      </c>
      <c r="N987" s="1">
        <v>5162</v>
      </c>
      <c r="O987" s="1">
        <v>7138</v>
      </c>
      <c r="P987" s="1">
        <v>1976</v>
      </c>
      <c r="Q987" s="1" t="s">
        <v>42</v>
      </c>
      <c r="S987" s="1" t="s">
        <v>42</v>
      </c>
      <c r="T987" s="1" t="s">
        <v>153</v>
      </c>
      <c r="V987" s="5">
        <v>44338</v>
      </c>
      <c r="W987" s="5">
        <v>41976</v>
      </c>
      <c r="X987" s="1">
        <v>8350000</v>
      </c>
      <c r="Y987" s="1">
        <v>8350000</v>
      </c>
      <c r="Z987" s="5">
        <v>41976</v>
      </c>
      <c r="AA987" s="1">
        <v>8350000</v>
      </c>
      <c r="AB987" s="1" t="s">
        <v>177</v>
      </c>
      <c r="AC987" s="5">
        <v>42188</v>
      </c>
      <c r="AF987" s="1">
        <v>10013</v>
      </c>
      <c r="AI987" s="1" t="s">
        <v>66</v>
      </c>
      <c r="AJ987" s="1">
        <v>2015</v>
      </c>
      <c r="AK987" s="1" t="s">
        <v>49</v>
      </c>
      <c r="AL987" s="1">
        <v>33</v>
      </c>
    </row>
    <row r="988" spans="1:38" x14ac:dyDescent="0.2">
      <c r="A988" s="2" t="str">
        <f>HYPERLINK("https://www.compass.com/listing/101-leonard-street-unit-pha-manhattan-ny-10013/803315751553581193/","101 Leonard St, Unit PHA")</f>
        <v>101 Leonard St, Unit PHA</v>
      </c>
      <c r="B988" s="2" t="str">
        <f>HYPERLINK("https://www.compass.com/building/the-leonard-manhattan-ny/281919139939910965/","The Leonard")</f>
        <v>The Leonard</v>
      </c>
      <c r="C988" s="1" t="s">
        <v>77</v>
      </c>
      <c r="D988" s="1" t="s">
        <v>41</v>
      </c>
      <c r="E988" s="3">
        <v>6780000</v>
      </c>
      <c r="F988" s="1">
        <v>2396.6065747613902</v>
      </c>
      <c r="G988" s="1">
        <v>9</v>
      </c>
      <c r="H988" s="1">
        <v>4</v>
      </c>
      <c r="I988" s="1">
        <v>4</v>
      </c>
      <c r="J988" s="1">
        <v>4</v>
      </c>
      <c r="K988" s="1">
        <v>4</v>
      </c>
      <c r="M988" s="4">
        <v>2829</v>
      </c>
      <c r="N988" s="1">
        <v>3452</v>
      </c>
      <c r="O988" s="1">
        <v>5424</v>
      </c>
      <c r="P988" s="1">
        <v>1972</v>
      </c>
      <c r="Q988" s="1" t="s">
        <v>42</v>
      </c>
      <c r="S988" s="1" t="s">
        <v>42</v>
      </c>
      <c r="T988" s="1" t="s">
        <v>153</v>
      </c>
      <c r="U988" s="1">
        <v>107</v>
      </c>
      <c r="V988" s="5">
        <v>42153</v>
      </c>
      <c r="W988" s="5">
        <v>42009</v>
      </c>
      <c r="X988" s="1">
        <v>7995000</v>
      </c>
      <c r="Y988" s="1">
        <v>7495000</v>
      </c>
      <c r="AA988" s="1">
        <v>6780000</v>
      </c>
      <c r="AB988" s="1" t="s">
        <v>821</v>
      </c>
      <c r="AC988" s="5">
        <v>42271</v>
      </c>
      <c r="AF988" s="1">
        <v>10013</v>
      </c>
      <c r="AI988" s="1" t="s">
        <v>822</v>
      </c>
      <c r="AJ988" s="1">
        <v>2014</v>
      </c>
      <c r="AK988" s="1" t="s">
        <v>46</v>
      </c>
      <c r="AL988" s="1">
        <v>66</v>
      </c>
    </row>
    <row r="989" spans="1:38" x14ac:dyDescent="0.2">
      <c r="A989" s="2" t="str">
        <f>HYPERLINK("https://www.compass.com/listing/71-laight-street-unit-5c-manhattan-ny-10013/29359349889553617/","71 Laight St, Unit 5C")</f>
        <v>71 Laight St, Unit 5C</v>
      </c>
      <c r="B989" s="2" t="str">
        <f>HYPERLINK("https://www.compass.com/building/the-sterling-mason-manhattan-ny/281919618778432805/","The Sterling Mason")</f>
        <v>The Sterling Mason</v>
      </c>
      <c r="C989" s="1" t="s">
        <v>65</v>
      </c>
      <c r="D989" s="1" t="s">
        <v>41</v>
      </c>
      <c r="E989" s="3">
        <v>9950000</v>
      </c>
      <c r="F989" s="1">
        <v>2683.3872707659102</v>
      </c>
      <c r="G989" s="1">
        <v>14</v>
      </c>
      <c r="H989" s="1">
        <v>5</v>
      </c>
      <c r="I989" s="1">
        <v>5</v>
      </c>
      <c r="J989" s="1">
        <v>5</v>
      </c>
      <c r="K989" s="1">
        <v>5</v>
      </c>
      <c r="M989" s="4">
        <v>3708</v>
      </c>
      <c r="N989" s="1">
        <v>5990</v>
      </c>
      <c r="O989" s="1">
        <v>8283</v>
      </c>
      <c r="P989" s="1">
        <v>2293</v>
      </c>
      <c r="Q989" s="1" t="s">
        <v>42</v>
      </c>
      <c r="S989" s="1" t="s">
        <v>42</v>
      </c>
      <c r="T989" s="1" t="s">
        <v>153</v>
      </c>
      <c r="V989" s="5">
        <v>44426</v>
      </c>
      <c r="W989" s="5">
        <v>41976</v>
      </c>
      <c r="X989" s="1">
        <v>9950000</v>
      </c>
      <c r="Y989" s="1">
        <v>9950000</v>
      </c>
      <c r="Z989" s="5">
        <v>41976</v>
      </c>
      <c r="AA989" s="1">
        <v>9950000</v>
      </c>
      <c r="AB989" s="1" t="s">
        <v>823</v>
      </c>
      <c r="AC989" s="5">
        <v>42355</v>
      </c>
      <c r="AF989" s="1">
        <v>10013</v>
      </c>
      <c r="AI989" s="1" t="s">
        <v>66</v>
      </c>
      <c r="AJ989" s="1">
        <v>2015</v>
      </c>
      <c r="AK989" s="1" t="s">
        <v>49</v>
      </c>
      <c r="AL989" s="1">
        <v>33</v>
      </c>
    </row>
    <row r="990" spans="1:38" x14ac:dyDescent="0.2">
      <c r="A990" s="2" t="str">
        <f>HYPERLINK("https://www.compass.com/listing/101-leonard-street-unit-lofta-manhattan-ny-10013/29358425934690177/","101 Leonard St, Unit LOFTA")</f>
        <v>101 Leonard St, Unit LOFTA</v>
      </c>
      <c r="B990" s="2" t="str">
        <f t="shared" ref="B990:B991" si="144">HYPERLINK("https://www.compass.com/building/the-leonard-manhattan-ny/281919139939910965/","The Leonard")</f>
        <v>The Leonard</v>
      </c>
      <c r="C990" s="1" t="s">
        <v>65</v>
      </c>
      <c r="D990" s="1" t="s">
        <v>41</v>
      </c>
      <c r="E990" s="3">
        <v>1323725</v>
      </c>
      <c r="F990" s="1">
        <v>1489.0044994375701</v>
      </c>
      <c r="G990" s="1">
        <v>3</v>
      </c>
      <c r="H990" s="1">
        <v>1</v>
      </c>
      <c r="I990" s="1">
        <v>1</v>
      </c>
      <c r="J990" s="1">
        <v>1</v>
      </c>
      <c r="K990" s="1">
        <v>1</v>
      </c>
      <c r="M990" s="1">
        <v>889</v>
      </c>
      <c r="N990" s="1">
        <v>960</v>
      </c>
      <c r="O990" s="1">
        <v>1914</v>
      </c>
      <c r="P990" s="1">
        <v>954</v>
      </c>
      <c r="Q990" s="1" t="s">
        <v>42</v>
      </c>
      <c r="S990" s="1" t="s">
        <v>42</v>
      </c>
      <c r="T990" s="1" t="s">
        <v>153</v>
      </c>
      <c r="U990" s="1">
        <v>153</v>
      </c>
      <c r="V990" s="5">
        <v>44418</v>
      </c>
      <c r="W990" s="5">
        <v>41976</v>
      </c>
      <c r="X990" s="1">
        <v>1450000</v>
      </c>
      <c r="Y990" s="1">
        <v>1300000</v>
      </c>
      <c r="Z990" s="5">
        <v>42129</v>
      </c>
      <c r="AA990" s="1">
        <v>1323725</v>
      </c>
      <c r="AB990" s="1" t="s">
        <v>824</v>
      </c>
      <c r="AC990" s="5">
        <v>42185</v>
      </c>
      <c r="AF990" s="1">
        <v>10013</v>
      </c>
      <c r="AI990" s="1" t="s">
        <v>55</v>
      </c>
      <c r="AJ990" s="1">
        <v>2014</v>
      </c>
      <c r="AK990" s="1" t="s">
        <v>49</v>
      </c>
      <c r="AL990" s="1">
        <v>66</v>
      </c>
    </row>
    <row r="991" spans="1:38" x14ac:dyDescent="0.2">
      <c r="A991" s="2" t="str">
        <f>HYPERLINK("https://www.compass.com/listing/101-leonard-street-unit-pha-manhattan-ny-10013/70927049467895697/","101 Leonard St, Unit PHA")</f>
        <v>101 Leonard St, Unit PHA</v>
      </c>
      <c r="B991" s="2" t="str">
        <f t="shared" si="144"/>
        <v>The Leonard</v>
      </c>
      <c r="C991" s="1" t="s">
        <v>77</v>
      </c>
      <c r="D991" s="1" t="s">
        <v>41</v>
      </c>
      <c r="E991" s="3">
        <v>6780000</v>
      </c>
      <c r="F991" s="1">
        <v>2396.6065747613902</v>
      </c>
      <c r="G991" s="1">
        <v>9</v>
      </c>
      <c r="H991" s="1">
        <v>4</v>
      </c>
      <c r="I991" s="1">
        <v>4</v>
      </c>
      <c r="M991" s="4">
        <v>2829</v>
      </c>
      <c r="N991" s="1">
        <v>3452</v>
      </c>
      <c r="O991" s="1">
        <v>5424</v>
      </c>
      <c r="P991" s="1">
        <v>1972</v>
      </c>
      <c r="Q991" s="1" t="s">
        <v>42</v>
      </c>
      <c r="S991" s="1" t="s">
        <v>42</v>
      </c>
      <c r="T991" s="1" t="s">
        <v>153</v>
      </c>
      <c r="U991" s="1">
        <v>261</v>
      </c>
      <c r="V991" s="5">
        <v>43032</v>
      </c>
      <c r="W991" s="5">
        <v>42009</v>
      </c>
      <c r="X991" s="1">
        <v>7995000</v>
      </c>
      <c r="Y991" s="1">
        <v>7995000</v>
      </c>
      <c r="AA991" s="1">
        <v>6780000</v>
      </c>
      <c r="AB991" s="1" t="s">
        <v>821</v>
      </c>
      <c r="AC991" s="5">
        <v>42271</v>
      </c>
      <c r="AF991" s="1">
        <v>10013</v>
      </c>
      <c r="AI991" s="1" t="s">
        <v>825</v>
      </c>
      <c r="AJ991" s="1">
        <v>2014</v>
      </c>
      <c r="AK991" s="1" t="s">
        <v>46</v>
      </c>
      <c r="AL991" s="1">
        <v>66</v>
      </c>
    </row>
    <row r="992" spans="1:38" x14ac:dyDescent="0.2">
      <c r="A992" s="2" t="str">
        <f>HYPERLINK("https://www.compass.com/listing/71-laight-street-unit-5f-manhattan-ny-10013/4852270846783272817/","71 Laight St, Unit 5F")</f>
        <v>71 Laight St, Unit 5F</v>
      </c>
      <c r="B992" s="2" t="str">
        <f>HYPERLINK("https://www.compass.com/building/the-sterling-mason-manhattan-ny/281919618778432805/","The Sterling Mason")</f>
        <v>The Sterling Mason</v>
      </c>
      <c r="C992" s="1" t="s">
        <v>65</v>
      </c>
      <c r="D992" s="1" t="s">
        <v>41</v>
      </c>
      <c r="E992" s="3">
        <v>5549462</v>
      </c>
      <c r="F992" s="1">
        <v>2303.6371938563698</v>
      </c>
      <c r="G992" s="1">
        <v>7</v>
      </c>
      <c r="H992" s="1">
        <v>3</v>
      </c>
      <c r="I992" s="1">
        <v>3</v>
      </c>
      <c r="J992" s="1">
        <v>3</v>
      </c>
      <c r="M992" s="4">
        <v>2409</v>
      </c>
      <c r="N992" s="1">
        <v>3892</v>
      </c>
      <c r="O992" s="1">
        <v>5382</v>
      </c>
      <c r="P992" s="1">
        <v>1490</v>
      </c>
      <c r="Q992" s="1" t="s">
        <v>42</v>
      </c>
      <c r="S992" s="1" t="s">
        <v>42</v>
      </c>
      <c r="T992" s="1" t="s">
        <v>153</v>
      </c>
      <c r="V992" s="5">
        <v>44209</v>
      </c>
      <c r="W992" s="5">
        <v>41976</v>
      </c>
      <c r="X992" s="1">
        <v>5450000</v>
      </c>
      <c r="Y992" s="1">
        <v>5450000</v>
      </c>
      <c r="Z992" s="5">
        <v>41976</v>
      </c>
      <c r="AA992" s="1">
        <v>5549462</v>
      </c>
      <c r="AB992" s="1" t="s">
        <v>177</v>
      </c>
      <c r="AC992" s="5">
        <v>42194</v>
      </c>
      <c r="AF992" s="1">
        <v>10013</v>
      </c>
      <c r="AI992" s="1" t="s">
        <v>66</v>
      </c>
      <c r="AJ992" s="1">
        <v>2015</v>
      </c>
      <c r="AK992" s="1" t="s">
        <v>49</v>
      </c>
      <c r="AL992" s="1">
        <v>33</v>
      </c>
    </row>
    <row r="993" spans="1:38" x14ac:dyDescent="0.2">
      <c r="A993" s="2" t="str">
        <f>HYPERLINK("https://www.compass.com/listing/110-charlton-street-unit-9e-manhattan-ny-10014/847056723692362705/","110 Charlton St, Unit 9E")</f>
        <v>110 Charlton St, Unit 9E</v>
      </c>
      <c r="B993" s="2" t="str">
        <f t="shared" ref="B993:B1000" si="145">HYPERLINK("https://www.compass.com/building/greenwich-west-manhattan-ny/282058690331179733/","Greenwich West")</f>
        <v>Greenwich West</v>
      </c>
      <c r="C993" s="1" t="s">
        <v>72</v>
      </c>
      <c r="D993" s="1" t="s">
        <v>41</v>
      </c>
      <c r="E993" s="3">
        <v>1425000</v>
      </c>
      <c r="F993" s="1">
        <v>1706.5868263473001</v>
      </c>
      <c r="G993" s="1">
        <v>3</v>
      </c>
      <c r="H993" s="1">
        <v>1</v>
      </c>
      <c r="I993" s="1">
        <v>1</v>
      </c>
      <c r="J993" s="1">
        <v>1</v>
      </c>
      <c r="K993" s="1">
        <v>1</v>
      </c>
      <c r="M993" s="1">
        <v>835</v>
      </c>
      <c r="N993" s="1">
        <v>751</v>
      </c>
      <c r="O993" s="1">
        <v>2563</v>
      </c>
      <c r="P993" s="1">
        <v>1812</v>
      </c>
      <c r="Q993" s="1" t="s">
        <v>42</v>
      </c>
      <c r="S993" s="1" t="s">
        <v>42</v>
      </c>
      <c r="T993" s="1" t="s">
        <v>153</v>
      </c>
      <c r="U993" s="1">
        <v>87</v>
      </c>
      <c r="V993" s="5">
        <v>44421</v>
      </c>
      <c r="W993" s="5">
        <v>44333</v>
      </c>
      <c r="X993" s="1">
        <v>1425000</v>
      </c>
      <c r="Y993" s="1">
        <v>1425000</v>
      </c>
      <c r="AA993" s="1">
        <v>1425000</v>
      </c>
      <c r="AB993" s="1" t="s">
        <v>177</v>
      </c>
      <c r="AC993" s="5">
        <v>44420</v>
      </c>
      <c r="AF993" s="1">
        <v>10014</v>
      </c>
      <c r="AI993" s="1" t="s">
        <v>51</v>
      </c>
      <c r="AJ993" s="1">
        <v>2020</v>
      </c>
      <c r="AK993" s="1" t="s">
        <v>46</v>
      </c>
      <c r="AL993" s="1">
        <v>170</v>
      </c>
    </row>
    <row r="994" spans="1:38" x14ac:dyDescent="0.2">
      <c r="A994" s="2" t="str">
        <f>HYPERLINK("https://www.compass.com/listing/110-charlton-street-unit-11b-manhattan-ny-10014/429737265225739393/","110 Charlton St, Unit 11B")</f>
        <v>110 Charlton St, Unit 11B</v>
      </c>
      <c r="B994" s="2" t="str">
        <f t="shared" si="145"/>
        <v>Greenwich West</v>
      </c>
      <c r="C994" s="1" t="s">
        <v>72</v>
      </c>
      <c r="D994" s="1" t="s">
        <v>41</v>
      </c>
      <c r="E994" s="3">
        <v>1625000</v>
      </c>
      <c r="F994" s="1">
        <v>2104.92227979274</v>
      </c>
      <c r="G994" s="1">
        <v>3</v>
      </c>
      <c r="H994" s="1">
        <v>1</v>
      </c>
      <c r="I994" s="1">
        <v>1</v>
      </c>
      <c r="J994" s="1">
        <v>1</v>
      </c>
      <c r="K994" s="1">
        <v>1</v>
      </c>
      <c r="M994" s="1">
        <v>772</v>
      </c>
      <c r="N994" s="1">
        <v>694</v>
      </c>
      <c r="O994" s="1">
        <v>1472</v>
      </c>
      <c r="P994" s="1">
        <v>778</v>
      </c>
      <c r="Q994" s="1" t="s">
        <v>42</v>
      </c>
      <c r="S994" s="1" t="s">
        <v>42</v>
      </c>
      <c r="T994" s="1" t="s">
        <v>153</v>
      </c>
      <c r="U994" s="1">
        <v>118</v>
      </c>
      <c r="V994" s="5">
        <v>44169</v>
      </c>
      <c r="W994" s="5">
        <v>43844</v>
      </c>
      <c r="X994" s="1">
        <v>1625000</v>
      </c>
      <c r="Y994" s="1">
        <v>1625000</v>
      </c>
      <c r="AA994" s="1">
        <v>1625000</v>
      </c>
      <c r="AB994" s="1" t="s">
        <v>826</v>
      </c>
      <c r="AC994" s="5">
        <v>44155</v>
      </c>
      <c r="AF994" s="1">
        <v>10014</v>
      </c>
      <c r="AI994" s="1" t="s">
        <v>51</v>
      </c>
      <c r="AJ994" s="1">
        <v>2020</v>
      </c>
      <c r="AK994" s="1" t="s">
        <v>46</v>
      </c>
      <c r="AL994" s="1">
        <v>170</v>
      </c>
    </row>
    <row r="995" spans="1:38" x14ac:dyDescent="0.2">
      <c r="A995" s="2" t="str">
        <f>HYPERLINK("https://www.compass.com/listing/110-charlton-street-unit-9c-manhattan-ny-10014/429716825207655321/","110 Charlton St, Unit 9C")</f>
        <v>110 Charlton St, Unit 9C</v>
      </c>
      <c r="B995" s="2" t="str">
        <f t="shared" si="145"/>
        <v>Greenwich West</v>
      </c>
      <c r="C995" s="1" t="s">
        <v>72</v>
      </c>
      <c r="D995" s="1" t="s">
        <v>41</v>
      </c>
      <c r="E995" s="3">
        <v>1980000</v>
      </c>
      <c r="F995" s="1">
        <v>1818.1818181818101</v>
      </c>
      <c r="G995" s="1">
        <v>3</v>
      </c>
      <c r="H995" s="1">
        <v>1</v>
      </c>
      <c r="I995" s="1">
        <v>2</v>
      </c>
      <c r="J995" s="1">
        <v>1.5</v>
      </c>
      <c r="K995" s="1">
        <v>1</v>
      </c>
      <c r="L995" s="1">
        <v>1</v>
      </c>
      <c r="M995" s="4">
        <v>1089</v>
      </c>
      <c r="N995" s="1">
        <v>979</v>
      </c>
      <c r="O995" s="1">
        <v>3122</v>
      </c>
      <c r="P995" s="1">
        <v>2143</v>
      </c>
      <c r="Q995" s="1" t="s">
        <v>42</v>
      </c>
      <c r="S995" s="1" t="s">
        <v>42</v>
      </c>
      <c r="T995" s="1" t="s">
        <v>153</v>
      </c>
      <c r="V995" s="5">
        <v>44330</v>
      </c>
      <c r="W995" s="5">
        <v>43844</v>
      </c>
      <c r="X995" s="1">
        <v>1980000</v>
      </c>
      <c r="Y995" s="1">
        <v>1980000</v>
      </c>
      <c r="Z995" s="5">
        <v>44315</v>
      </c>
      <c r="AA995" s="1">
        <v>1980000</v>
      </c>
      <c r="AB995" s="1" t="s">
        <v>827</v>
      </c>
      <c r="AC995" s="5">
        <v>44316</v>
      </c>
      <c r="AF995" s="1">
        <v>10014</v>
      </c>
      <c r="AI995" s="1" t="s">
        <v>51</v>
      </c>
      <c r="AJ995" s="1">
        <v>2020</v>
      </c>
      <c r="AK995" s="1" t="s">
        <v>46</v>
      </c>
      <c r="AL995" s="1">
        <v>170</v>
      </c>
    </row>
    <row r="996" spans="1:38" x14ac:dyDescent="0.2">
      <c r="A996" s="2" t="str">
        <f>HYPERLINK("https://www.compass.com/listing/110-charlton-street-unit-19h-manhattan-ny-10014/263634243467448689/","110 Charlton St, Unit 19H")</f>
        <v>110 Charlton St, Unit 19H</v>
      </c>
      <c r="B996" s="2" t="str">
        <f t="shared" si="145"/>
        <v>Greenwich West</v>
      </c>
      <c r="C996" s="1" t="s">
        <v>72</v>
      </c>
      <c r="D996" s="1" t="s">
        <v>41</v>
      </c>
      <c r="E996" s="3">
        <v>2462324</v>
      </c>
      <c r="F996" s="1">
        <v>2093.8127125850301</v>
      </c>
      <c r="G996" s="1">
        <v>4</v>
      </c>
      <c r="H996" s="1">
        <v>2</v>
      </c>
      <c r="I996" s="1">
        <v>2</v>
      </c>
      <c r="J996" s="1">
        <v>2</v>
      </c>
      <c r="K996" s="1">
        <v>2</v>
      </c>
      <c r="M996" s="4">
        <v>1176</v>
      </c>
      <c r="N996" s="1">
        <v>1058</v>
      </c>
      <c r="O996" s="1">
        <v>2243</v>
      </c>
      <c r="P996" s="1">
        <v>1185</v>
      </c>
      <c r="Q996" s="1" t="s">
        <v>42</v>
      </c>
      <c r="S996" s="1" t="s">
        <v>42</v>
      </c>
      <c r="T996" s="1" t="s">
        <v>153</v>
      </c>
      <c r="U996" s="1">
        <v>91</v>
      </c>
      <c r="V996" s="5">
        <v>44149</v>
      </c>
      <c r="W996" s="5">
        <v>43615</v>
      </c>
      <c r="X996" s="1">
        <v>2415000</v>
      </c>
      <c r="AB996" s="1" t="s">
        <v>177</v>
      </c>
      <c r="AF996" s="1">
        <v>10014</v>
      </c>
      <c r="AI996" s="1" t="s">
        <v>51</v>
      </c>
      <c r="AJ996" s="1">
        <v>2020</v>
      </c>
      <c r="AK996" s="1" t="s">
        <v>46</v>
      </c>
      <c r="AL996" s="1">
        <v>170</v>
      </c>
    </row>
    <row r="997" spans="1:38" x14ac:dyDescent="0.2">
      <c r="A997" s="2" t="str">
        <f>HYPERLINK("https://www.compass.com/listing/110-charlton-street-unit-16h-manhattan-ny-10014/648672895902970425/","110 Charlton St, Unit 16H")</f>
        <v>110 Charlton St, Unit 16H</v>
      </c>
      <c r="B997" s="2" t="str">
        <f t="shared" si="145"/>
        <v>Greenwich West</v>
      </c>
      <c r="C997" s="1" t="s">
        <v>72</v>
      </c>
      <c r="D997" s="1" t="s">
        <v>41</v>
      </c>
      <c r="E997" s="3">
        <v>1719001</v>
      </c>
      <c r="F997" s="1">
        <v>1903.6558693244699</v>
      </c>
      <c r="G997" s="1">
        <v>3</v>
      </c>
      <c r="H997" s="1">
        <v>1</v>
      </c>
      <c r="I997" s="1">
        <v>1</v>
      </c>
      <c r="J997" s="1">
        <v>1</v>
      </c>
      <c r="K997" s="1">
        <v>1</v>
      </c>
      <c r="M997" s="1">
        <v>903</v>
      </c>
      <c r="N997" s="1">
        <v>812</v>
      </c>
      <c r="O997" s="1">
        <v>1722</v>
      </c>
      <c r="P997" s="1">
        <v>910</v>
      </c>
      <c r="Q997" s="1" t="s">
        <v>42</v>
      </c>
      <c r="S997" s="1" t="s">
        <v>42</v>
      </c>
      <c r="T997" s="1" t="s">
        <v>153</v>
      </c>
      <c r="V997" s="5">
        <v>44148</v>
      </c>
      <c r="W997" s="5">
        <v>44146</v>
      </c>
      <c r="X997" s="1">
        <v>1685000</v>
      </c>
      <c r="Y997" s="1">
        <v>1685000</v>
      </c>
      <c r="Z997" s="5">
        <v>44147</v>
      </c>
      <c r="AA997" s="1">
        <v>1719001.25</v>
      </c>
      <c r="AB997" s="1" t="s">
        <v>828</v>
      </c>
      <c r="AC997" s="5">
        <v>44147</v>
      </c>
      <c r="AF997" s="1">
        <v>10014</v>
      </c>
      <c r="AI997" s="1" t="s">
        <v>51</v>
      </c>
      <c r="AJ997" s="1">
        <v>2020</v>
      </c>
      <c r="AK997" s="1" t="s">
        <v>46</v>
      </c>
      <c r="AL997" s="1">
        <v>170</v>
      </c>
    </row>
    <row r="998" spans="1:38" x14ac:dyDescent="0.2">
      <c r="A998" s="2" t="str">
        <f>HYPERLINK("https://www.compass.com/listing/110-charlton-street-unit-5b-manhattan-ny-10014/157750300650832225/","110 Charlton St, Unit 5B")</f>
        <v>110 Charlton St, Unit 5B</v>
      </c>
      <c r="B998" s="2" t="str">
        <f t="shared" si="145"/>
        <v>Greenwich West</v>
      </c>
      <c r="C998" s="1" t="s">
        <v>72</v>
      </c>
      <c r="D998" s="1" t="s">
        <v>41</v>
      </c>
      <c r="E998" s="3">
        <v>1575000</v>
      </c>
      <c r="F998" s="1">
        <v>1759.7765363128401</v>
      </c>
      <c r="G998" s="1">
        <v>3</v>
      </c>
      <c r="H998" s="1">
        <v>1</v>
      </c>
      <c r="I998" s="1">
        <v>1</v>
      </c>
      <c r="J998" s="1">
        <v>1</v>
      </c>
      <c r="K998" s="1">
        <v>1</v>
      </c>
      <c r="M998" s="1">
        <v>895</v>
      </c>
      <c r="N998" s="1">
        <v>805</v>
      </c>
      <c r="O998" s="1">
        <v>1707</v>
      </c>
      <c r="P998" s="1">
        <v>902</v>
      </c>
      <c r="Q998" s="1" t="s">
        <v>42</v>
      </c>
      <c r="S998" s="1" t="s">
        <v>42</v>
      </c>
      <c r="T998" s="1" t="s">
        <v>153</v>
      </c>
      <c r="U998" s="1">
        <v>237</v>
      </c>
      <c r="V998" s="5">
        <v>44230</v>
      </c>
      <c r="W998" s="5">
        <v>43469</v>
      </c>
      <c r="X998" s="1">
        <v>1550000</v>
      </c>
      <c r="AB998" s="1" t="s">
        <v>177</v>
      </c>
      <c r="AF998" s="1">
        <v>10014</v>
      </c>
      <c r="AI998" s="1" t="s">
        <v>51</v>
      </c>
      <c r="AJ998" s="1">
        <v>2020</v>
      </c>
      <c r="AK998" s="1" t="s">
        <v>49</v>
      </c>
      <c r="AL998" s="1">
        <v>170</v>
      </c>
    </row>
    <row r="999" spans="1:38" x14ac:dyDescent="0.2">
      <c r="A999" s="2" t="str">
        <f>HYPERLINK("https://www.compass.com/listing/110-charlton-street-unit-7b-manhattan-ny-10014/449847832103565713/","110 Charlton St, Unit 7B")</f>
        <v>110 Charlton St, Unit 7B</v>
      </c>
      <c r="B999" s="2" t="str">
        <f t="shared" si="145"/>
        <v>Greenwich West</v>
      </c>
      <c r="C999" s="1" t="s">
        <v>72</v>
      </c>
      <c r="D999" s="1" t="s">
        <v>41</v>
      </c>
      <c r="E999" s="3">
        <v>1665000</v>
      </c>
      <c r="F999" s="1">
        <v>1860.3351955307201</v>
      </c>
      <c r="G999" s="1">
        <v>3</v>
      </c>
      <c r="H999" s="1">
        <v>1</v>
      </c>
      <c r="I999" s="1">
        <v>1</v>
      </c>
      <c r="J999" s="1">
        <v>1</v>
      </c>
      <c r="K999" s="1">
        <v>1</v>
      </c>
      <c r="M999" s="1">
        <v>895</v>
      </c>
      <c r="N999" s="1">
        <v>805</v>
      </c>
      <c r="O999" s="1">
        <v>2566</v>
      </c>
      <c r="P999" s="1">
        <v>1761</v>
      </c>
      <c r="Q999" s="1" t="s">
        <v>42</v>
      </c>
      <c r="S999" s="1" t="s">
        <v>42</v>
      </c>
      <c r="T999" s="1" t="s">
        <v>153</v>
      </c>
      <c r="U999" s="1">
        <v>216</v>
      </c>
      <c r="V999" s="5">
        <v>44196</v>
      </c>
      <c r="W999" s="5">
        <v>43872</v>
      </c>
      <c r="X999" s="1">
        <v>1690000</v>
      </c>
      <c r="Y999" s="1">
        <v>1690000</v>
      </c>
      <c r="Z999" s="5">
        <v>44183</v>
      </c>
      <c r="AA999" s="1">
        <v>1665000</v>
      </c>
      <c r="AB999" s="1" t="s">
        <v>829</v>
      </c>
      <c r="AC999" s="5">
        <v>44194</v>
      </c>
      <c r="AF999" s="1">
        <v>10014</v>
      </c>
      <c r="AI999" s="1" t="s">
        <v>51</v>
      </c>
      <c r="AJ999" s="1">
        <v>2020</v>
      </c>
      <c r="AK999" s="1" t="s">
        <v>46</v>
      </c>
      <c r="AL999" s="1">
        <v>170</v>
      </c>
    </row>
    <row r="1000" spans="1:38" x14ac:dyDescent="0.2">
      <c r="A1000" s="2" t="str">
        <f>HYPERLINK("https://www.compass.com/listing/110-charlton-street-unit-16b-manhattan-ny-10014/642800348879698681/","110 Charlton St, Unit 16B")</f>
        <v>110 Charlton St, Unit 16B</v>
      </c>
      <c r="B1000" s="2" t="str">
        <f t="shared" si="145"/>
        <v>Greenwich West</v>
      </c>
      <c r="C1000" s="1" t="s">
        <v>72</v>
      </c>
      <c r="D1000" s="1" t="s">
        <v>41</v>
      </c>
      <c r="E1000" s="3">
        <v>1675000</v>
      </c>
      <c r="F1000" s="1">
        <v>2206.8511198945898</v>
      </c>
      <c r="G1000" s="1">
        <v>3</v>
      </c>
      <c r="H1000" s="1">
        <v>1</v>
      </c>
      <c r="I1000" s="1">
        <v>1</v>
      </c>
      <c r="J1000" s="1">
        <v>1</v>
      </c>
      <c r="K1000" s="1">
        <v>1</v>
      </c>
      <c r="M1000" s="1">
        <v>759</v>
      </c>
      <c r="N1000" s="1">
        <v>683</v>
      </c>
      <c r="O1000" s="1">
        <v>1448</v>
      </c>
      <c r="P1000" s="1">
        <v>765</v>
      </c>
      <c r="Q1000" s="1" t="s">
        <v>42</v>
      </c>
      <c r="S1000" s="1" t="s">
        <v>42</v>
      </c>
      <c r="T1000" s="1" t="s">
        <v>153</v>
      </c>
      <c r="U1000" s="1">
        <v>365</v>
      </c>
      <c r="V1000" s="5">
        <v>44342</v>
      </c>
      <c r="W1000" s="5">
        <v>43679</v>
      </c>
      <c r="X1000" s="1">
        <v>1675000</v>
      </c>
      <c r="Y1000" s="1">
        <v>1675000</v>
      </c>
      <c r="Z1000" s="5">
        <v>44139</v>
      </c>
      <c r="AA1000" s="1">
        <v>1675000</v>
      </c>
      <c r="AB1000" s="1" t="s">
        <v>830</v>
      </c>
      <c r="AC1000" s="5">
        <v>44147</v>
      </c>
      <c r="AF1000" s="1">
        <v>10014</v>
      </c>
      <c r="AI1000" s="1" t="s">
        <v>51</v>
      </c>
      <c r="AJ1000" s="1">
        <v>2020</v>
      </c>
      <c r="AK1000" s="1" t="s">
        <v>49</v>
      </c>
      <c r="AL1000" s="1">
        <v>170</v>
      </c>
    </row>
    <row r="1001" spans="1:38" x14ac:dyDescent="0.2">
      <c r="A1001" s="2" t="str">
        <f>HYPERLINK("https://www.compass.com/listing/71-laight-street-unit-1b-manhattan-ny-10013/236716680171088913/","71 Laight St, Unit 1B")</f>
        <v>71 Laight St, Unit 1B</v>
      </c>
      <c r="B1001" s="2" t="str">
        <f t="shared" ref="B1001:B1002" si="146">HYPERLINK("https://www.compass.com/building/the-sterling-mason-manhattan-ny/281919618778432805/","The Sterling Mason")</f>
        <v>The Sterling Mason</v>
      </c>
      <c r="C1001" s="1" t="s">
        <v>65</v>
      </c>
      <c r="D1001" s="1" t="s">
        <v>41</v>
      </c>
      <c r="E1001" s="3">
        <v>5550000</v>
      </c>
      <c r="F1001" s="1">
        <v>2234.2995169082101</v>
      </c>
      <c r="H1001" s="1">
        <v>3</v>
      </c>
      <c r="J1001" s="1">
        <v>3.5</v>
      </c>
      <c r="M1001" s="4">
        <v>2484</v>
      </c>
      <c r="N1001" s="1">
        <v>4083</v>
      </c>
      <c r="O1001" s="1">
        <v>5666</v>
      </c>
      <c r="P1001" s="1">
        <v>1583</v>
      </c>
      <c r="Q1001" s="1" t="s">
        <v>42</v>
      </c>
      <c r="S1001" s="1" t="s">
        <v>42</v>
      </c>
      <c r="T1001" s="1" t="s">
        <v>153</v>
      </c>
      <c r="AA1001" s="1">
        <v>5550000</v>
      </c>
      <c r="AB1001" s="1" t="s">
        <v>831</v>
      </c>
      <c r="AC1001" s="5">
        <v>43643</v>
      </c>
      <c r="AF1001" s="1">
        <v>10013</v>
      </c>
      <c r="AI1001" s="1" t="s">
        <v>66</v>
      </c>
      <c r="AJ1001" s="1">
        <v>2015</v>
      </c>
      <c r="AK1001" s="1" t="s">
        <v>49</v>
      </c>
      <c r="AL1001" s="1">
        <v>33</v>
      </c>
    </row>
    <row r="1002" spans="1:38" x14ac:dyDescent="0.2">
      <c r="A1002" s="2" t="str">
        <f>HYPERLINK("https://www.compass.com/listing/71-laight-street-unit-6a-manhattan-ny-10013/29359350250231249/","71 Laight St, Unit 6A")</f>
        <v>71 Laight St, Unit 6A</v>
      </c>
      <c r="B1002" s="2" t="str">
        <f t="shared" si="146"/>
        <v>The Sterling Mason</v>
      </c>
      <c r="C1002" s="1" t="s">
        <v>65</v>
      </c>
      <c r="D1002" s="1" t="s">
        <v>41</v>
      </c>
      <c r="E1002" s="3">
        <v>9600000</v>
      </c>
      <c r="F1002" s="1">
        <v>2567.5314255148401</v>
      </c>
      <c r="H1002" s="1">
        <v>4</v>
      </c>
      <c r="J1002" s="1">
        <v>5</v>
      </c>
      <c r="M1002" s="4">
        <v>3739</v>
      </c>
      <c r="N1002" s="1">
        <v>6070</v>
      </c>
      <c r="O1002" s="1">
        <v>8660</v>
      </c>
      <c r="P1002" s="1">
        <v>2590</v>
      </c>
      <c r="Q1002" s="1" t="s">
        <v>42</v>
      </c>
      <c r="S1002" s="1" t="s">
        <v>42</v>
      </c>
      <c r="T1002" s="1" t="s">
        <v>153</v>
      </c>
      <c r="AA1002" s="1">
        <v>9600000</v>
      </c>
      <c r="AB1002" s="1" t="s">
        <v>832</v>
      </c>
      <c r="AC1002" s="5">
        <v>42475</v>
      </c>
      <c r="AF1002" s="1">
        <v>10013</v>
      </c>
      <c r="AI1002" s="1" t="s">
        <v>66</v>
      </c>
      <c r="AJ1002" s="1">
        <v>2015</v>
      </c>
      <c r="AK1002" s="1" t="s">
        <v>49</v>
      </c>
      <c r="AL1002" s="1">
        <v>33</v>
      </c>
    </row>
    <row r="1003" spans="1:38" x14ac:dyDescent="0.2">
      <c r="A1003" s="2" t="str">
        <f>HYPERLINK("https://www.compass.com/listing/101-leonard-street-unit-7f-manhattan-ny-10013/18882267996869745/","101 Leonard St, Unit 7F")</f>
        <v>101 Leonard St, Unit 7F</v>
      </c>
      <c r="B1003" s="2" t="str">
        <f>HYPERLINK("https://www.compass.com/building/the-leonard-manhattan-ny/281919139939910965/","The Leonard")</f>
        <v>The Leonard</v>
      </c>
      <c r="C1003" s="1" t="s">
        <v>77</v>
      </c>
      <c r="D1003" s="1" t="s">
        <v>41</v>
      </c>
      <c r="E1003" s="3">
        <v>2070000</v>
      </c>
      <c r="F1003" s="1">
        <v>1623.5294117646999</v>
      </c>
      <c r="G1003" s="1">
        <v>5</v>
      </c>
      <c r="H1003" s="1">
        <v>2</v>
      </c>
      <c r="I1003" s="1">
        <v>2</v>
      </c>
      <c r="J1003" s="1">
        <v>2</v>
      </c>
      <c r="K1003" s="1">
        <v>2</v>
      </c>
      <c r="M1003" s="4">
        <v>1275</v>
      </c>
      <c r="N1003" s="1">
        <v>1510</v>
      </c>
      <c r="O1003" s="1">
        <v>3290</v>
      </c>
      <c r="P1003" s="1">
        <v>1780</v>
      </c>
      <c r="Q1003" s="1" t="s">
        <v>42</v>
      </c>
      <c r="S1003" s="1" t="s">
        <v>42</v>
      </c>
      <c r="T1003" s="1" t="s">
        <v>153</v>
      </c>
      <c r="U1003" s="1">
        <v>119</v>
      </c>
      <c r="V1003" s="5">
        <v>43729</v>
      </c>
      <c r="W1003" s="5">
        <v>42815</v>
      </c>
      <c r="X1003" s="1">
        <v>2300000</v>
      </c>
      <c r="Y1003" s="1">
        <v>2300000</v>
      </c>
      <c r="AA1003" s="1">
        <v>2070000</v>
      </c>
      <c r="AB1003" s="1" t="s">
        <v>184</v>
      </c>
      <c r="AC1003" s="5">
        <v>43614</v>
      </c>
      <c r="AF1003" s="1">
        <v>10013</v>
      </c>
      <c r="AI1003" s="1" t="s">
        <v>55</v>
      </c>
      <c r="AJ1003" s="1">
        <v>2014</v>
      </c>
      <c r="AK1003" s="1" t="s">
        <v>46</v>
      </c>
      <c r="AL1003" s="1">
        <v>66</v>
      </c>
    </row>
    <row r="1004" spans="1:38" x14ac:dyDescent="0.2">
      <c r="A1004" s="2" t="str">
        <f>HYPERLINK("https://www.compass.com/listing/110-charlton-street-unit-6b-manhattan-ny-10014/329739770158416241/","110 Charlton St, Unit 6B")</f>
        <v>110 Charlton St, Unit 6B</v>
      </c>
      <c r="B1004" s="2" t="str">
        <f t="shared" ref="B1004:B1005" si="147">HYPERLINK("https://www.compass.com/building/greenwich-west-manhattan-ny/282058690331179733/","Greenwich West")</f>
        <v>Greenwich West</v>
      </c>
      <c r="C1004" s="1" t="s">
        <v>72</v>
      </c>
      <c r="D1004" s="1" t="s">
        <v>41</v>
      </c>
      <c r="E1004" s="3">
        <v>1600000</v>
      </c>
      <c r="F1004" s="1">
        <v>1787.7094972067</v>
      </c>
      <c r="G1004" s="1">
        <v>3</v>
      </c>
      <c r="H1004" s="1">
        <v>1</v>
      </c>
      <c r="I1004" s="1">
        <v>1</v>
      </c>
      <c r="J1004" s="1">
        <v>1</v>
      </c>
      <c r="K1004" s="1">
        <v>1</v>
      </c>
      <c r="M1004" s="1">
        <v>895</v>
      </c>
      <c r="N1004" s="1">
        <v>805</v>
      </c>
      <c r="O1004" s="1">
        <v>1707</v>
      </c>
      <c r="P1004" s="1">
        <v>902</v>
      </c>
      <c r="Q1004" s="1" t="s">
        <v>42</v>
      </c>
      <c r="S1004" s="1" t="s">
        <v>42</v>
      </c>
      <c r="T1004" s="1" t="s">
        <v>153</v>
      </c>
      <c r="U1004" s="1">
        <v>138</v>
      </c>
      <c r="V1004" s="5">
        <v>44130</v>
      </c>
      <c r="W1004" s="5">
        <v>43706</v>
      </c>
      <c r="X1004" s="1">
        <v>1600000</v>
      </c>
      <c r="Y1004" s="1">
        <v>1600000</v>
      </c>
      <c r="AA1004" s="1">
        <v>1600000</v>
      </c>
      <c r="AB1004" s="1" t="s">
        <v>833</v>
      </c>
      <c r="AC1004" s="5">
        <v>44126</v>
      </c>
      <c r="AF1004" s="1">
        <v>10014</v>
      </c>
      <c r="AI1004" s="1" t="s">
        <v>85</v>
      </c>
      <c r="AJ1004" s="1">
        <v>2020</v>
      </c>
      <c r="AK1004" s="1" t="s">
        <v>46</v>
      </c>
      <c r="AL1004" s="1">
        <v>170</v>
      </c>
    </row>
    <row r="1005" spans="1:38" x14ac:dyDescent="0.2">
      <c r="A1005" s="2" t="str">
        <f>HYPERLINK("https://www.compass.com/listing/110-charlton-street-unit-17a-manhattan-ny-10014/743529978096113433/","110 Charlton St, Unit 17A")</f>
        <v>110 Charlton St, Unit 17A</v>
      </c>
      <c r="B1005" s="2" t="str">
        <f t="shared" si="147"/>
        <v>Greenwich West</v>
      </c>
      <c r="C1005" s="1" t="s">
        <v>72</v>
      </c>
      <c r="D1005" s="1" t="s">
        <v>41</v>
      </c>
      <c r="E1005" s="3">
        <v>2920000</v>
      </c>
      <c r="F1005" s="1">
        <v>2169.3907875185701</v>
      </c>
      <c r="G1005" s="1">
        <v>4</v>
      </c>
      <c r="H1005" s="1">
        <v>2</v>
      </c>
      <c r="I1005" s="1">
        <v>2</v>
      </c>
      <c r="J1005" s="1">
        <v>2</v>
      </c>
      <c r="K1005" s="1">
        <v>2</v>
      </c>
      <c r="M1005" s="4">
        <v>1346</v>
      </c>
      <c r="N1005" s="1">
        <v>1210</v>
      </c>
      <c r="O1005" s="1">
        <v>3859</v>
      </c>
      <c r="P1005" s="1">
        <v>2649</v>
      </c>
      <c r="Q1005" s="1" t="s">
        <v>42</v>
      </c>
      <c r="S1005" s="1" t="s">
        <v>42</v>
      </c>
      <c r="T1005" s="1" t="s">
        <v>153</v>
      </c>
      <c r="U1005" s="1">
        <v>3</v>
      </c>
      <c r="V1005" s="5">
        <v>44281</v>
      </c>
      <c r="W1005" s="5">
        <v>44274</v>
      </c>
      <c r="X1005" s="1">
        <v>2920000</v>
      </c>
      <c r="Y1005" s="1">
        <v>2920000</v>
      </c>
      <c r="Z1005" s="5">
        <v>44278</v>
      </c>
      <c r="AA1005" s="1">
        <v>2920000</v>
      </c>
      <c r="AB1005" s="1" t="s">
        <v>834</v>
      </c>
      <c r="AC1005" s="5">
        <v>44280</v>
      </c>
      <c r="AF1005" s="1">
        <v>10014</v>
      </c>
      <c r="AI1005" s="1" t="s">
        <v>51</v>
      </c>
      <c r="AJ1005" s="1">
        <v>2020</v>
      </c>
      <c r="AK1005" s="1" t="s">
        <v>46</v>
      </c>
      <c r="AL1005" s="1">
        <v>170</v>
      </c>
    </row>
    <row r="1006" spans="1:38" x14ac:dyDescent="0.2">
      <c r="A1006" s="2" t="str">
        <f>HYPERLINK("https://www.compass.com/listing/71-laight-street-unit-4a-manhattan-ny-10013/238333394965066001/","71 Laight St, Unit 4A")</f>
        <v>71 Laight St, Unit 4A</v>
      </c>
      <c r="B1006" s="2" t="str">
        <f>HYPERLINK("https://www.compass.com/building/the-sterling-mason-manhattan-ny/281919618778432805/","The Sterling Mason")</f>
        <v>The Sterling Mason</v>
      </c>
      <c r="C1006" s="1" t="s">
        <v>65</v>
      </c>
      <c r="D1006" s="1" t="s">
        <v>41</v>
      </c>
      <c r="E1006" s="3">
        <v>4100000</v>
      </c>
      <c r="F1006" s="1">
        <v>2007.83545543584</v>
      </c>
      <c r="H1006" s="1">
        <v>2</v>
      </c>
      <c r="J1006" s="1">
        <v>2.5</v>
      </c>
      <c r="M1006" s="4">
        <v>2042</v>
      </c>
      <c r="N1006" s="1">
        <v>3282.52</v>
      </c>
      <c r="O1006" s="1">
        <v>5545.6</v>
      </c>
      <c r="P1006" s="1">
        <v>2263.0833333333298</v>
      </c>
      <c r="Q1006" s="1" t="s">
        <v>42</v>
      </c>
      <c r="S1006" s="1" t="s">
        <v>42</v>
      </c>
      <c r="T1006" s="1" t="s">
        <v>153</v>
      </c>
      <c r="AA1006" s="1">
        <v>4100000</v>
      </c>
      <c r="AB1006" s="1" t="s">
        <v>835</v>
      </c>
      <c r="AC1006" s="5">
        <v>43566</v>
      </c>
      <c r="AF1006" s="1">
        <v>10013</v>
      </c>
      <c r="AI1006" s="1" t="s">
        <v>66</v>
      </c>
      <c r="AJ1006" s="1">
        <v>2015</v>
      </c>
      <c r="AK1006" s="1" t="s">
        <v>49</v>
      </c>
      <c r="AL1006" s="1">
        <v>33</v>
      </c>
    </row>
    <row r="1007" spans="1:38" x14ac:dyDescent="0.2">
      <c r="A1007" s="2" t="str">
        <f>HYPERLINK("https://www.compass.com/listing/21-east-61st-street-unit-6f-manhattan-ny-10065/29410732068153313/","21 E 61st St, Unit 6F")</f>
        <v>21 E 61st St, Unit 6F</v>
      </c>
      <c r="B1007" s="2" t="str">
        <f>HYPERLINK("https://www.compass.com/building/the-carlton-house-manhattan-ny/292926373863910149/","The Carlton House")</f>
        <v>The Carlton House</v>
      </c>
      <c r="C1007" s="1" t="s">
        <v>98</v>
      </c>
      <c r="D1007" s="1" t="s">
        <v>41</v>
      </c>
      <c r="E1007" s="3">
        <v>3015000</v>
      </c>
      <c r="F1007" s="1">
        <v>2523.0125523012498</v>
      </c>
      <c r="G1007" s="1">
        <v>4</v>
      </c>
      <c r="H1007" s="1">
        <v>2</v>
      </c>
      <c r="I1007" s="1">
        <v>2</v>
      </c>
      <c r="J1007" s="1">
        <v>2</v>
      </c>
      <c r="K1007" s="1">
        <v>2</v>
      </c>
      <c r="M1007" s="4">
        <v>1195</v>
      </c>
      <c r="N1007" s="1">
        <v>3841</v>
      </c>
      <c r="O1007" s="1">
        <v>3841</v>
      </c>
      <c r="Q1007" s="1" t="s">
        <v>836</v>
      </c>
      <c r="S1007" s="1" t="s">
        <v>836</v>
      </c>
      <c r="T1007" s="1" t="s">
        <v>153</v>
      </c>
      <c r="U1007" s="1">
        <v>420</v>
      </c>
      <c r="V1007" s="5">
        <v>43664</v>
      </c>
      <c r="W1007" s="5">
        <v>42396</v>
      </c>
      <c r="X1007" s="1">
        <v>4100000</v>
      </c>
      <c r="Y1007" s="1">
        <v>3395000</v>
      </c>
      <c r="Z1007" s="5">
        <v>42816</v>
      </c>
      <c r="AA1007" s="1">
        <v>3015000</v>
      </c>
      <c r="AB1007" s="1" t="s">
        <v>837</v>
      </c>
      <c r="AC1007" s="5">
        <v>42867</v>
      </c>
      <c r="AF1007" s="1">
        <v>10065</v>
      </c>
      <c r="AJ1007" s="1">
        <v>1951</v>
      </c>
      <c r="AK1007" s="1" t="s">
        <v>46</v>
      </c>
      <c r="AL1007" s="1">
        <v>68</v>
      </c>
    </row>
    <row r="1008" spans="1:38" x14ac:dyDescent="0.2">
      <c r="A1008" s="2" t="str">
        <f>HYPERLINK("https://www.compass.com/listing/110-charlton-street-unit-26e-manhattan-ny-10014/398475153030901985/","110 Charlton St, Unit 26E")</f>
        <v>110 Charlton St, Unit 26E</v>
      </c>
      <c r="B1008" s="2" t="str">
        <f>HYPERLINK("https://www.compass.com/building/greenwich-west-manhattan-ny/282058690331179733/","Greenwich West")</f>
        <v>Greenwich West</v>
      </c>
      <c r="C1008" s="1" t="s">
        <v>72</v>
      </c>
      <c r="D1008" s="1" t="s">
        <v>41</v>
      </c>
      <c r="E1008" s="3">
        <v>2760000</v>
      </c>
      <c r="F1008" s="1">
        <v>2346.9387755101998</v>
      </c>
      <c r="G1008" s="1">
        <v>4</v>
      </c>
      <c r="H1008" s="1">
        <v>2</v>
      </c>
      <c r="I1008" s="1">
        <v>2</v>
      </c>
      <c r="J1008" s="1">
        <v>2</v>
      </c>
      <c r="K1008" s="1">
        <v>2</v>
      </c>
      <c r="M1008" s="4">
        <v>1176</v>
      </c>
      <c r="N1008" s="1">
        <v>1058</v>
      </c>
      <c r="O1008" s="1">
        <v>2243</v>
      </c>
      <c r="P1008" s="1">
        <v>1185</v>
      </c>
      <c r="Q1008" s="1" t="s">
        <v>42</v>
      </c>
      <c r="S1008" s="1" t="s">
        <v>42</v>
      </c>
      <c r="T1008" s="1" t="s">
        <v>153</v>
      </c>
      <c r="V1008" s="5">
        <v>44288</v>
      </c>
      <c r="W1008" s="5">
        <v>43801</v>
      </c>
      <c r="X1008" s="1">
        <v>2760000</v>
      </c>
      <c r="Y1008" s="1">
        <v>2760000</v>
      </c>
      <c r="AA1008" s="1">
        <v>2760000</v>
      </c>
      <c r="AB1008" s="1" t="s">
        <v>838</v>
      </c>
      <c r="AC1008" s="5">
        <v>44391</v>
      </c>
      <c r="AF1008" s="1">
        <v>10014</v>
      </c>
      <c r="AI1008" s="1" t="s">
        <v>51</v>
      </c>
      <c r="AJ1008" s="1">
        <v>2020</v>
      </c>
      <c r="AK1008" s="1" t="s">
        <v>46</v>
      </c>
      <c r="AL1008" s="1">
        <v>170</v>
      </c>
    </row>
    <row r="1009" spans="1:38" x14ac:dyDescent="0.2">
      <c r="A1009" s="2" t="str">
        <f>HYPERLINK("https://www.compass.com/listing/101-leonard-street-unit-2e-manhattan-ny-10013/841463708270525697/","101 Leonard St, Unit 2E")</f>
        <v>101 Leonard St, Unit 2E</v>
      </c>
      <c r="B1009" s="2" t="str">
        <f>HYPERLINK("https://www.compass.com/building/the-leonard-manhattan-ny/281919139939910965/","The Leonard")</f>
        <v>The Leonard</v>
      </c>
      <c r="C1009" s="1" t="s">
        <v>77</v>
      </c>
      <c r="D1009" s="1" t="s">
        <v>41</v>
      </c>
      <c r="E1009" s="3">
        <v>2978381</v>
      </c>
      <c r="F1009" s="1">
        <v>1517.25993377483</v>
      </c>
      <c r="G1009" s="1">
        <v>7</v>
      </c>
      <c r="H1009" s="1">
        <v>3</v>
      </c>
      <c r="I1009" s="1">
        <v>3</v>
      </c>
      <c r="J1009" s="1">
        <v>3</v>
      </c>
      <c r="M1009" s="4">
        <v>1963</v>
      </c>
      <c r="N1009" s="1">
        <v>2131</v>
      </c>
      <c r="O1009" s="1">
        <v>4248</v>
      </c>
      <c r="P1009" s="1">
        <v>2117</v>
      </c>
      <c r="Q1009" s="1" t="s">
        <v>42</v>
      </c>
      <c r="S1009" s="1" t="s">
        <v>42</v>
      </c>
      <c r="T1009" s="1" t="s">
        <v>153</v>
      </c>
      <c r="V1009" s="5">
        <v>41640</v>
      </c>
      <c r="Y1009" s="1">
        <v>2925000</v>
      </c>
      <c r="Z1009" s="5">
        <v>41947</v>
      </c>
      <c r="AA1009" s="1">
        <v>2978381.25</v>
      </c>
      <c r="AB1009" s="1" t="s">
        <v>839</v>
      </c>
      <c r="AC1009" s="5">
        <v>42024</v>
      </c>
      <c r="AF1009" s="1">
        <v>10013</v>
      </c>
      <c r="AI1009" s="1" t="s">
        <v>55</v>
      </c>
      <c r="AJ1009" s="1">
        <v>2014</v>
      </c>
      <c r="AK1009" s="1" t="s">
        <v>46</v>
      </c>
      <c r="AL1009" s="1">
        <v>66</v>
      </c>
    </row>
    <row r="1010" spans="1:38" x14ac:dyDescent="0.2">
      <c r="A1010" s="2" t="str">
        <f>HYPERLINK("https://www.compass.com/listing/110-charlton-street-unit-22b-manhattan-ny-10014/165194871836003489/","110 Charlton St, Unit 22B")</f>
        <v>110 Charlton St, Unit 22B</v>
      </c>
      <c r="B1010" s="2" t="str">
        <f t="shared" ref="B1010:B1012" si="148">HYPERLINK("https://www.compass.com/building/greenwich-west-manhattan-ny/282058690331179733/","Greenwich West")</f>
        <v>Greenwich West</v>
      </c>
      <c r="C1010" s="1" t="s">
        <v>72</v>
      </c>
      <c r="D1010" s="1" t="s">
        <v>41</v>
      </c>
      <c r="E1010" s="3">
        <v>3495000</v>
      </c>
      <c r="F1010" s="1">
        <v>2447.4789915966298</v>
      </c>
      <c r="G1010" s="1">
        <v>4</v>
      </c>
      <c r="H1010" s="1">
        <v>2</v>
      </c>
      <c r="I1010" s="1">
        <v>3</v>
      </c>
      <c r="J1010" s="1">
        <v>2.5</v>
      </c>
      <c r="K1010" s="1">
        <v>2</v>
      </c>
      <c r="L1010" s="1">
        <v>1</v>
      </c>
      <c r="M1010" s="4">
        <v>1428</v>
      </c>
      <c r="N1010" s="1">
        <v>1284</v>
      </c>
      <c r="O1010" s="1">
        <v>4094</v>
      </c>
      <c r="P1010" s="1">
        <v>2810</v>
      </c>
      <c r="Q1010" s="1" t="s">
        <v>42</v>
      </c>
      <c r="S1010" s="1" t="s">
        <v>42</v>
      </c>
      <c r="T1010" s="1" t="s">
        <v>153</v>
      </c>
      <c r="U1010" s="1">
        <v>95</v>
      </c>
      <c r="V1010" s="5">
        <v>44335</v>
      </c>
      <c r="W1010" s="5">
        <v>44211</v>
      </c>
      <c r="X1010" s="1">
        <v>3495000</v>
      </c>
      <c r="Y1010" s="1">
        <v>3495000</v>
      </c>
      <c r="Z1010" s="5">
        <v>44306</v>
      </c>
      <c r="AA1010" s="1">
        <v>3495000</v>
      </c>
      <c r="AB1010" s="1" t="s">
        <v>840</v>
      </c>
      <c r="AC1010" s="5">
        <v>44329</v>
      </c>
      <c r="AF1010" s="1">
        <v>10014</v>
      </c>
      <c r="AI1010" s="1" t="s">
        <v>51</v>
      </c>
      <c r="AJ1010" s="1">
        <v>2020</v>
      </c>
      <c r="AK1010" s="1" t="s">
        <v>46</v>
      </c>
      <c r="AL1010" s="1">
        <v>170</v>
      </c>
    </row>
    <row r="1011" spans="1:38" x14ac:dyDescent="0.2">
      <c r="A1011" s="2" t="str">
        <f>HYPERLINK("https://www.compass.com/listing/110-charlton-street-unit-22e-manhattan-ny-10014/643445471540152793/","110 Charlton St, Unit 22E")</f>
        <v>110 Charlton St, Unit 22E</v>
      </c>
      <c r="B1011" s="2" t="str">
        <f t="shared" si="148"/>
        <v>Greenwich West</v>
      </c>
      <c r="C1011" s="1" t="s">
        <v>72</v>
      </c>
      <c r="D1011" s="1" t="s">
        <v>41</v>
      </c>
      <c r="E1011" s="3">
        <v>2680000</v>
      </c>
      <c r="F1011" s="1">
        <v>2278.9115646258501</v>
      </c>
      <c r="G1011" s="1">
        <v>4</v>
      </c>
      <c r="H1011" s="1">
        <v>2</v>
      </c>
      <c r="I1011" s="1">
        <v>2</v>
      </c>
      <c r="J1011" s="1">
        <v>2</v>
      </c>
      <c r="K1011" s="1">
        <v>2</v>
      </c>
      <c r="M1011" s="4">
        <v>1176</v>
      </c>
      <c r="N1011" s="1">
        <v>1058</v>
      </c>
      <c r="O1011" s="1">
        <v>3372</v>
      </c>
      <c r="P1011" s="1">
        <v>2314</v>
      </c>
      <c r="Q1011" s="1" t="s">
        <v>42</v>
      </c>
      <c r="S1011" s="1" t="s">
        <v>42</v>
      </c>
      <c r="T1011" s="1" t="s">
        <v>153</v>
      </c>
      <c r="U1011" s="1">
        <v>92</v>
      </c>
      <c r="V1011" s="5">
        <v>44315</v>
      </c>
      <c r="W1011" s="5">
        <v>44146</v>
      </c>
      <c r="X1011" s="1">
        <v>2680000</v>
      </c>
      <c r="Y1011" s="1">
        <v>2680000</v>
      </c>
      <c r="Z1011" s="5">
        <v>44239</v>
      </c>
      <c r="AA1011" s="1">
        <v>2680000</v>
      </c>
      <c r="AB1011" s="1" t="s">
        <v>841</v>
      </c>
      <c r="AC1011" s="5">
        <v>44313</v>
      </c>
      <c r="AF1011" s="1">
        <v>10014</v>
      </c>
      <c r="AI1011" s="1" t="s">
        <v>51</v>
      </c>
      <c r="AJ1011" s="1">
        <v>2020</v>
      </c>
      <c r="AK1011" s="1" t="s">
        <v>49</v>
      </c>
      <c r="AL1011" s="1">
        <v>170</v>
      </c>
    </row>
    <row r="1012" spans="1:38" x14ac:dyDescent="0.2">
      <c r="A1012" s="2" t="str">
        <f>HYPERLINK("https://www.compass.com/listing/110-charlton-street-unit-25a-manhattan-ny-10014/695078571040596793/","110 Charlton St, Unit 25A")</f>
        <v>110 Charlton St, Unit 25A</v>
      </c>
      <c r="B1012" s="2" t="str">
        <f t="shared" si="148"/>
        <v>Greenwich West</v>
      </c>
      <c r="C1012" s="1" t="s">
        <v>72</v>
      </c>
      <c r="D1012" s="1" t="s">
        <v>41</v>
      </c>
      <c r="E1012" s="3">
        <v>4075000</v>
      </c>
      <c r="F1012" s="1">
        <v>2520.0989486703702</v>
      </c>
      <c r="G1012" s="1">
        <v>4.5</v>
      </c>
      <c r="H1012" s="1">
        <v>2</v>
      </c>
      <c r="I1012" s="1">
        <v>3</v>
      </c>
      <c r="J1012" s="1">
        <v>2.5</v>
      </c>
      <c r="K1012" s="1">
        <v>2</v>
      </c>
      <c r="L1012" s="1">
        <v>1</v>
      </c>
      <c r="M1012" s="4">
        <v>1617</v>
      </c>
      <c r="N1012" s="1">
        <v>1454</v>
      </c>
      <c r="O1012" s="1">
        <v>4636</v>
      </c>
      <c r="P1012" s="1">
        <v>3182</v>
      </c>
      <c r="Q1012" s="1" t="s">
        <v>42</v>
      </c>
      <c r="S1012" s="1" t="s">
        <v>42</v>
      </c>
      <c r="T1012" s="1" t="s">
        <v>153</v>
      </c>
      <c r="U1012" s="1">
        <v>127</v>
      </c>
      <c r="V1012" s="5">
        <v>44386</v>
      </c>
      <c r="W1012" s="5">
        <v>44210</v>
      </c>
      <c r="X1012" s="1">
        <v>4075000</v>
      </c>
      <c r="Y1012" s="1">
        <v>4075000</v>
      </c>
      <c r="Z1012" s="5">
        <v>44338</v>
      </c>
      <c r="AA1012" s="1">
        <v>4075000</v>
      </c>
      <c r="AB1012" s="1" t="s">
        <v>842</v>
      </c>
      <c r="AC1012" s="5">
        <v>44361</v>
      </c>
      <c r="AF1012" s="1">
        <v>10014</v>
      </c>
      <c r="AI1012" s="1" t="s">
        <v>51</v>
      </c>
      <c r="AJ1012" s="1">
        <v>2020</v>
      </c>
      <c r="AK1012" s="1" t="s">
        <v>49</v>
      </c>
      <c r="AL1012" s="1">
        <v>170</v>
      </c>
    </row>
    <row r="1013" spans="1:38" x14ac:dyDescent="0.2">
      <c r="A1013" s="2" t="str">
        <f>HYPERLINK("https://www.compass.com/listing/449-washington-street-unit-4-manhattan-ny-10013/483743297970663953/","449 Washington St, Unit 4")</f>
        <v>449 Washington St, Unit 4</v>
      </c>
      <c r="B1013" s="2" t="str">
        <f>HYPERLINK("https://www.compass.com/building/449-washington-street-manhattan-ny/281919898303629445/","449 Washington Street")</f>
        <v>449 Washington Street</v>
      </c>
      <c r="C1013" s="1" t="s">
        <v>65</v>
      </c>
      <c r="D1013" s="1" t="s">
        <v>41</v>
      </c>
      <c r="E1013" s="3">
        <v>6109500</v>
      </c>
      <c r="F1013" s="1">
        <v>1935.2233132720901</v>
      </c>
      <c r="H1013" s="1">
        <v>2</v>
      </c>
      <c r="J1013" s="1">
        <v>2</v>
      </c>
      <c r="M1013" s="4">
        <v>3157</v>
      </c>
      <c r="N1013" s="1">
        <v>1484</v>
      </c>
      <c r="O1013" s="1">
        <v>3199</v>
      </c>
      <c r="P1013" s="1">
        <v>1715</v>
      </c>
      <c r="Q1013" s="1" t="s">
        <v>42</v>
      </c>
      <c r="S1013" s="1" t="s">
        <v>42</v>
      </c>
      <c r="T1013" s="1" t="s">
        <v>153</v>
      </c>
      <c r="AA1013" s="1">
        <v>6109500</v>
      </c>
      <c r="AB1013" s="1" t="s">
        <v>843</v>
      </c>
      <c r="AC1013" s="5">
        <v>42412</v>
      </c>
      <c r="AF1013" s="1">
        <v>10013</v>
      </c>
      <c r="AI1013" s="1" t="s">
        <v>107</v>
      </c>
      <c r="AJ1013" s="1">
        <v>1920</v>
      </c>
      <c r="AL1013" s="1">
        <v>4</v>
      </c>
    </row>
    <row r="1014" spans="1:38" x14ac:dyDescent="0.2">
      <c r="A1014" s="2" t="str">
        <f>HYPERLINK("https://www.compass.com/listing/101-leonard-street-unit-9b-manhattan-ny-10013/192570192142808401/","101 Leonard St, Unit 9B")</f>
        <v>101 Leonard St, Unit 9B</v>
      </c>
      <c r="B1014" s="2" t="str">
        <f t="shared" ref="B1014:B1015" si="149">HYPERLINK("https://www.compass.com/building/the-leonard-manhattan-ny/281919139939910965/","The Leonard")</f>
        <v>The Leonard</v>
      </c>
      <c r="C1014" s="1" t="s">
        <v>77</v>
      </c>
      <c r="D1014" s="1" t="s">
        <v>41</v>
      </c>
      <c r="E1014" s="3">
        <v>2545625</v>
      </c>
      <c r="F1014" s="1">
        <v>1702.75919732441</v>
      </c>
      <c r="G1014" s="1">
        <v>4</v>
      </c>
      <c r="H1014" s="1">
        <v>2</v>
      </c>
      <c r="I1014" s="1">
        <v>2</v>
      </c>
      <c r="J1014" s="1">
        <v>2</v>
      </c>
      <c r="M1014" s="4">
        <v>1495</v>
      </c>
      <c r="N1014" s="1">
        <v>1677</v>
      </c>
      <c r="O1014" s="1">
        <v>3343</v>
      </c>
      <c r="P1014" s="1">
        <v>1666</v>
      </c>
      <c r="Q1014" s="1" t="s">
        <v>42</v>
      </c>
      <c r="S1014" s="1" t="s">
        <v>42</v>
      </c>
      <c r="T1014" s="1" t="s">
        <v>153</v>
      </c>
      <c r="U1014" s="1">
        <v>152</v>
      </c>
      <c r="V1014" s="5">
        <v>42137</v>
      </c>
      <c r="W1014" s="5">
        <v>41908</v>
      </c>
      <c r="X1014" s="1">
        <v>2450000</v>
      </c>
      <c r="Y1014" s="1">
        <v>2450000</v>
      </c>
      <c r="AA1014" s="1">
        <v>2545625</v>
      </c>
      <c r="AB1014" s="1" t="s">
        <v>844</v>
      </c>
      <c r="AC1014" s="5">
        <v>42060</v>
      </c>
      <c r="AF1014" s="1">
        <v>10013</v>
      </c>
      <c r="AI1014" s="1" t="s">
        <v>55</v>
      </c>
      <c r="AJ1014" s="1">
        <v>2014</v>
      </c>
      <c r="AK1014" s="1" t="s">
        <v>49</v>
      </c>
      <c r="AL1014" s="1">
        <v>66</v>
      </c>
    </row>
    <row r="1015" spans="1:38" x14ac:dyDescent="0.2">
      <c r="A1015" s="2" t="str">
        <f>HYPERLINK("https://www.compass.com/listing/101-leonard-street-unit-6a-manhattan-ny-10013/183109680522907969/","101 Leonard St, Unit 6A")</f>
        <v>101 Leonard St, Unit 6A</v>
      </c>
      <c r="B1015" s="2" t="str">
        <f t="shared" si="149"/>
        <v>The Leonard</v>
      </c>
      <c r="C1015" s="1" t="s">
        <v>77</v>
      </c>
      <c r="D1015" s="1" t="s">
        <v>41</v>
      </c>
      <c r="E1015" s="3">
        <v>1190000</v>
      </c>
      <c r="F1015" s="1">
        <v>1425.1497005988001</v>
      </c>
      <c r="G1015" s="1">
        <v>3</v>
      </c>
      <c r="H1015" s="1">
        <v>1</v>
      </c>
      <c r="I1015" s="1">
        <v>1</v>
      </c>
      <c r="J1015" s="1">
        <v>1</v>
      </c>
      <c r="K1015" s="1">
        <v>1</v>
      </c>
      <c r="M1015" s="1">
        <v>835</v>
      </c>
      <c r="N1015" s="1">
        <v>1100</v>
      </c>
      <c r="O1015" s="1">
        <v>2245</v>
      </c>
      <c r="P1015" s="1">
        <v>1145</v>
      </c>
      <c r="Q1015" s="1" t="s">
        <v>42</v>
      </c>
      <c r="S1015" s="1" t="s">
        <v>42</v>
      </c>
      <c r="T1015" s="1" t="s">
        <v>153</v>
      </c>
      <c r="U1015" s="1">
        <v>113</v>
      </c>
      <c r="V1015" s="5">
        <v>43763</v>
      </c>
      <c r="W1015" s="5">
        <v>43502</v>
      </c>
      <c r="X1015" s="1">
        <v>1295000</v>
      </c>
      <c r="Y1015" s="1">
        <v>1295000</v>
      </c>
      <c r="Z1015" s="5">
        <v>43616</v>
      </c>
      <c r="AA1015" s="1">
        <v>1190000</v>
      </c>
      <c r="AB1015" s="1" t="s">
        <v>845</v>
      </c>
      <c r="AC1015" s="5">
        <v>43657</v>
      </c>
      <c r="AF1015" s="1">
        <v>10013</v>
      </c>
      <c r="AI1015" s="1" t="s">
        <v>55</v>
      </c>
      <c r="AJ1015" s="1">
        <v>2014</v>
      </c>
      <c r="AK1015" s="1" t="s">
        <v>49</v>
      </c>
      <c r="AL1015" s="1">
        <v>66</v>
      </c>
    </row>
    <row r="1016" spans="1:38" x14ac:dyDescent="0.2">
      <c r="A1016" s="2" t="str">
        <f>HYPERLINK("https://www.compass.com/listing/21-east-61st-street-unit-6a-manhattan-ny-10065/226886553161542433/","21 E 61st St, Unit 6A")</f>
        <v>21 E 61st St, Unit 6A</v>
      </c>
      <c r="B1016" s="2" t="str">
        <f t="shared" ref="B1016:B1017" si="150">HYPERLINK("https://www.compass.com/building/the-carlton-house-manhattan-ny/292926373863910149/","The Carlton House")</f>
        <v>The Carlton House</v>
      </c>
      <c r="C1016" s="1" t="s">
        <v>98</v>
      </c>
      <c r="D1016" s="1" t="s">
        <v>41</v>
      </c>
      <c r="E1016" s="3">
        <v>3007088</v>
      </c>
      <c r="F1016" s="1">
        <v>2672.9666666666599</v>
      </c>
      <c r="G1016" s="1">
        <v>4</v>
      </c>
      <c r="H1016" s="1">
        <v>2</v>
      </c>
      <c r="I1016" s="1">
        <v>2</v>
      </c>
      <c r="J1016" s="1">
        <v>2</v>
      </c>
      <c r="M1016" s="4">
        <v>1125</v>
      </c>
      <c r="N1016" s="1">
        <v>3602</v>
      </c>
      <c r="O1016" s="1">
        <v>3602</v>
      </c>
      <c r="Q1016" s="1" t="s">
        <v>836</v>
      </c>
      <c r="S1016" s="1" t="s">
        <v>836</v>
      </c>
      <c r="T1016" s="1" t="s">
        <v>153</v>
      </c>
      <c r="V1016" s="5">
        <v>41640</v>
      </c>
      <c r="Y1016" s="1">
        <v>2950000</v>
      </c>
      <c r="Z1016" s="5">
        <v>42105</v>
      </c>
      <c r="AA1016" s="1">
        <v>3007087.5</v>
      </c>
      <c r="AB1016" s="1" t="s">
        <v>846</v>
      </c>
      <c r="AC1016" s="5">
        <v>41950</v>
      </c>
      <c r="AF1016" s="1">
        <v>10065</v>
      </c>
      <c r="AI1016" s="1" t="s">
        <v>163</v>
      </c>
      <c r="AJ1016" s="1">
        <v>1951</v>
      </c>
      <c r="AK1016" s="1" t="s">
        <v>99</v>
      </c>
      <c r="AL1016" s="1">
        <v>68</v>
      </c>
    </row>
    <row r="1017" spans="1:38" x14ac:dyDescent="0.2">
      <c r="A1017" s="2" t="str">
        <f>HYPERLINK("https://www.compass.com/listing/21-east-61st-street-unit-5a-manhattan-ny-10065/29410710769393201/","21 E 61st St, Unit 5A")</f>
        <v>21 E 61st St, Unit 5A</v>
      </c>
      <c r="B1017" s="2" t="str">
        <f t="shared" si="150"/>
        <v>The Carlton House</v>
      </c>
      <c r="C1017" s="1" t="s">
        <v>98</v>
      </c>
      <c r="D1017" s="1" t="s">
        <v>41</v>
      </c>
      <c r="E1017" s="3">
        <v>2956175</v>
      </c>
      <c r="F1017" s="1">
        <v>2627.7111111111099</v>
      </c>
      <c r="G1017" s="1">
        <v>4</v>
      </c>
      <c r="H1017" s="1">
        <v>2</v>
      </c>
      <c r="I1017" s="1">
        <v>2</v>
      </c>
      <c r="J1017" s="1">
        <v>2</v>
      </c>
      <c r="M1017" s="4">
        <v>1125</v>
      </c>
      <c r="N1017" s="1">
        <v>3548</v>
      </c>
      <c r="O1017" s="1">
        <v>3548</v>
      </c>
      <c r="Q1017" s="1" t="s">
        <v>836</v>
      </c>
      <c r="S1017" s="1" t="s">
        <v>836</v>
      </c>
      <c r="T1017" s="1" t="s">
        <v>153</v>
      </c>
      <c r="V1017" s="5">
        <v>41640</v>
      </c>
      <c r="Y1017" s="1">
        <v>2900000</v>
      </c>
      <c r="Z1017" s="5">
        <v>42105</v>
      </c>
      <c r="AA1017" s="1">
        <v>2956175</v>
      </c>
      <c r="AB1017" s="1" t="s">
        <v>847</v>
      </c>
      <c r="AC1017" s="5">
        <v>42011</v>
      </c>
      <c r="AF1017" s="1">
        <v>10065</v>
      </c>
      <c r="AJ1017" s="1">
        <v>1951</v>
      </c>
      <c r="AK1017" s="1" t="s">
        <v>99</v>
      </c>
      <c r="AL1017" s="1">
        <v>68</v>
      </c>
    </row>
    <row r="1018" spans="1:38" x14ac:dyDescent="0.2">
      <c r="A1018" s="2" t="str">
        <f>HYPERLINK("https://www.compass.com/listing/110-charlton-street-unit-23a-manhattan-ny-10014/287638894034415089/","110 Charlton St, Unit 23A")</f>
        <v>110 Charlton St, Unit 23A</v>
      </c>
      <c r="B1018" s="2" t="str">
        <f>HYPERLINK("https://www.compass.com/building/greenwich-west-manhattan-ny/282058690331179733/","Greenwich West")</f>
        <v>Greenwich West</v>
      </c>
      <c r="C1018" s="1" t="s">
        <v>72</v>
      </c>
      <c r="D1018" s="1" t="s">
        <v>41</v>
      </c>
      <c r="E1018" s="3">
        <v>3995000</v>
      </c>
      <c r="F1018" s="1">
        <v>2470.6246134817502</v>
      </c>
      <c r="G1018" s="1">
        <v>4</v>
      </c>
      <c r="H1018" s="1">
        <v>2</v>
      </c>
      <c r="I1018" s="1">
        <v>3</v>
      </c>
      <c r="J1018" s="1">
        <v>2.5</v>
      </c>
      <c r="K1018" s="1">
        <v>2</v>
      </c>
      <c r="L1018" s="1">
        <v>1</v>
      </c>
      <c r="M1018" s="4">
        <v>1617</v>
      </c>
      <c r="N1018" s="1">
        <v>1454</v>
      </c>
      <c r="O1018" s="1">
        <v>3084</v>
      </c>
      <c r="P1018" s="1">
        <v>1630</v>
      </c>
      <c r="Q1018" s="1" t="s">
        <v>42</v>
      </c>
      <c r="S1018" s="1" t="s">
        <v>42</v>
      </c>
      <c r="T1018" s="1" t="s">
        <v>153</v>
      </c>
      <c r="U1018" s="1">
        <v>59</v>
      </c>
      <c r="V1018" s="5">
        <v>44273</v>
      </c>
      <c r="W1018" s="5">
        <v>43648</v>
      </c>
      <c r="X1018" s="1">
        <v>3915000</v>
      </c>
      <c r="AB1018" s="1" t="s">
        <v>177</v>
      </c>
      <c r="AF1018" s="1">
        <v>10014</v>
      </c>
      <c r="AI1018" s="1" t="s">
        <v>51</v>
      </c>
      <c r="AJ1018" s="1">
        <v>2020</v>
      </c>
      <c r="AK1018" s="1" t="s">
        <v>46</v>
      </c>
      <c r="AL1018" s="1">
        <v>170</v>
      </c>
    </row>
    <row r="1019" spans="1:38" x14ac:dyDescent="0.2">
      <c r="A1019" s="2" t="str">
        <f>HYPERLINK("https://www.compass.com/listing/15-hubert-street-unit-2c-manhattan-ny-10013/29359218649745441/","15 Hubert St, Unit 2C")</f>
        <v>15 Hubert St, Unit 2C</v>
      </c>
      <c r="B1019" s="2" t="str">
        <f>HYPERLINK("https://www.compass.com/building/15-hubert-st-manhattan-ny-10013/281929572709086677/","15 Hubert St")</f>
        <v>15 Hubert St</v>
      </c>
      <c r="C1019" s="1" t="s">
        <v>65</v>
      </c>
      <c r="D1019" s="1" t="s">
        <v>41</v>
      </c>
      <c r="E1019" s="3">
        <v>2572779</v>
      </c>
      <c r="F1019" s="1">
        <v>1133.8821815777801</v>
      </c>
      <c r="H1019" s="1">
        <v>2</v>
      </c>
      <c r="J1019" s="1">
        <v>2.5</v>
      </c>
      <c r="M1019" s="4">
        <v>2269</v>
      </c>
      <c r="N1019" s="1">
        <v>1898</v>
      </c>
      <c r="O1019" s="1">
        <v>4558</v>
      </c>
      <c r="P1019" s="1">
        <v>2660</v>
      </c>
      <c r="Q1019" s="1" t="s">
        <v>42</v>
      </c>
      <c r="S1019" s="1" t="s">
        <v>42</v>
      </c>
      <c r="T1019" s="1" t="s">
        <v>153</v>
      </c>
      <c r="AA1019" s="1">
        <v>2572778.67</v>
      </c>
      <c r="AB1019" s="1" t="s">
        <v>848</v>
      </c>
      <c r="AC1019" s="5">
        <v>43174</v>
      </c>
      <c r="AF1019" s="1">
        <v>10013</v>
      </c>
      <c r="AI1019" s="1" t="s">
        <v>107</v>
      </c>
      <c r="AJ1019" s="1">
        <v>1867</v>
      </c>
      <c r="AK1019" s="1" t="s">
        <v>59</v>
      </c>
      <c r="AL1019" s="1">
        <v>13</v>
      </c>
    </row>
    <row r="1020" spans="1:38" x14ac:dyDescent="0.2">
      <c r="A1020" s="2" t="str">
        <f>HYPERLINK("https://www.compass.com/listing/110-charlton-street-unit-7d-manhattan-ny-10014/329756910416469809/","110 Charlton St, Unit 7D")</f>
        <v>110 Charlton St, Unit 7D</v>
      </c>
      <c r="B1020" s="2" t="str">
        <f>HYPERLINK("https://www.compass.com/building/greenwich-west-manhattan-ny/282058690331179733/","Greenwich West")</f>
        <v>Greenwich West</v>
      </c>
      <c r="C1020" s="1" t="s">
        <v>72</v>
      </c>
      <c r="D1020" s="1" t="s">
        <v>41</v>
      </c>
      <c r="E1020" s="3">
        <v>3925000</v>
      </c>
      <c r="F1020" s="1">
        <v>1793.87568555758</v>
      </c>
      <c r="G1020" s="1">
        <v>5</v>
      </c>
      <c r="H1020" s="1">
        <v>3</v>
      </c>
      <c r="I1020" s="1">
        <v>4</v>
      </c>
      <c r="J1020" s="1">
        <v>3.5</v>
      </c>
      <c r="K1020" s="1">
        <v>3</v>
      </c>
      <c r="L1020" s="1">
        <v>1</v>
      </c>
      <c r="M1020" s="4">
        <v>2188</v>
      </c>
      <c r="N1020" s="1">
        <v>1968</v>
      </c>
      <c r="O1020" s="1">
        <v>4173</v>
      </c>
      <c r="P1020" s="1">
        <v>2205</v>
      </c>
      <c r="Q1020" s="1" t="s">
        <v>42</v>
      </c>
      <c r="S1020" s="1" t="s">
        <v>42</v>
      </c>
      <c r="T1020" s="1" t="s">
        <v>153</v>
      </c>
      <c r="V1020" s="5">
        <v>44288</v>
      </c>
      <c r="W1020" s="5">
        <v>43706</v>
      </c>
      <c r="X1020" s="1">
        <v>3925000</v>
      </c>
      <c r="Y1020" s="1">
        <v>3925000</v>
      </c>
      <c r="AA1020" s="1">
        <v>3925000</v>
      </c>
      <c r="AB1020" s="1" t="s">
        <v>849</v>
      </c>
      <c r="AC1020" s="5">
        <v>44397</v>
      </c>
      <c r="AF1020" s="1">
        <v>10014</v>
      </c>
      <c r="AI1020" s="1" t="s">
        <v>51</v>
      </c>
      <c r="AJ1020" s="1">
        <v>2020</v>
      </c>
      <c r="AK1020" s="1" t="s">
        <v>46</v>
      </c>
      <c r="AL1020" s="1">
        <v>170</v>
      </c>
    </row>
    <row r="1021" spans="1:38" x14ac:dyDescent="0.2">
      <c r="A1021" s="2" t="str">
        <f>HYPERLINK("https://www.compass.com/listing/15-hubert-street-unit-3a-manhattan-ny-10013/616288157300141217/","15 Hubert St, Unit 3A")</f>
        <v>15 Hubert St, Unit 3A</v>
      </c>
      <c r="B1021" s="2" t="str">
        <f>HYPERLINK("https://www.compass.com/building/15-hubert-st-manhattan-ny-10013/281929572709086677/","15 Hubert St")</f>
        <v>15 Hubert St</v>
      </c>
      <c r="C1021" s="1" t="s">
        <v>65</v>
      </c>
      <c r="D1021" s="1" t="s">
        <v>41</v>
      </c>
      <c r="E1021" s="3">
        <v>3600000</v>
      </c>
      <c r="F1021" s="1">
        <v>1437.6996805111801</v>
      </c>
      <c r="H1021" s="1">
        <v>2</v>
      </c>
      <c r="J1021" s="1">
        <v>2.5</v>
      </c>
      <c r="M1021" s="4">
        <v>2504</v>
      </c>
      <c r="N1021" s="1">
        <v>2353</v>
      </c>
      <c r="O1021" s="1">
        <v>5650</v>
      </c>
      <c r="P1021" s="1">
        <v>3297</v>
      </c>
      <c r="Q1021" s="1" t="s">
        <v>42</v>
      </c>
      <c r="S1021" s="1" t="s">
        <v>42</v>
      </c>
      <c r="T1021" s="1" t="s">
        <v>153</v>
      </c>
      <c r="AA1021" s="1">
        <v>3600000</v>
      </c>
      <c r="AB1021" s="1" t="s">
        <v>850</v>
      </c>
      <c r="AC1021" s="5">
        <v>42796</v>
      </c>
      <c r="AF1021" s="1">
        <v>10013</v>
      </c>
      <c r="AI1021" s="1" t="s">
        <v>107</v>
      </c>
      <c r="AJ1021" s="1">
        <v>1867</v>
      </c>
      <c r="AK1021" s="1" t="s">
        <v>59</v>
      </c>
      <c r="AL1021" s="1">
        <v>13</v>
      </c>
    </row>
    <row r="1022" spans="1:38" x14ac:dyDescent="0.2">
      <c r="A1022" s="2" t="str">
        <f>HYPERLINK("https://www.compass.com/listing/101-leonard-street-unit-7e-manhattan-ny-10013/4852316258563010657/","101 Leonard St, Unit 7E")</f>
        <v>101 Leonard St, Unit 7E</v>
      </c>
      <c r="B1022" s="2" t="str">
        <f>HYPERLINK("https://www.compass.com/building/the-leonard-manhattan-ny/281919139939910965/","The Leonard")</f>
        <v>The Leonard</v>
      </c>
      <c r="C1022" s="1" t="s">
        <v>65</v>
      </c>
      <c r="D1022" s="1" t="s">
        <v>41</v>
      </c>
      <c r="E1022" s="3">
        <v>3232943</v>
      </c>
      <c r="F1022" s="1">
        <v>1646.93988792664</v>
      </c>
      <c r="G1022" s="1">
        <v>6</v>
      </c>
      <c r="H1022" s="1">
        <v>3</v>
      </c>
      <c r="I1022" s="1">
        <v>3</v>
      </c>
      <c r="J1022" s="1">
        <v>3</v>
      </c>
      <c r="M1022" s="4">
        <v>1963</v>
      </c>
      <c r="N1022" s="1">
        <v>2184</v>
      </c>
      <c r="O1022" s="1">
        <v>4354</v>
      </c>
      <c r="P1022" s="1">
        <v>2170</v>
      </c>
      <c r="Q1022" s="1" t="s">
        <v>42</v>
      </c>
      <c r="S1022" s="1" t="s">
        <v>42</v>
      </c>
      <c r="T1022" s="1" t="s">
        <v>153</v>
      </c>
      <c r="V1022" s="5">
        <v>43623</v>
      </c>
      <c r="W1022" s="5">
        <v>41643</v>
      </c>
      <c r="X1022" s="1">
        <v>3175000</v>
      </c>
      <c r="Y1022" s="1">
        <v>3175000</v>
      </c>
      <c r="Z1022" s="5">
        <v>41643</v>
      </c>
      <c r="AA1022" s="1">
        <v>3232943</v>
      </c>
      <c r="AB1022" s="1" t="s">
        <v>851</v>
      </c>
      <c r="AC1022" s="5">
        <v>41948</v>
      </c>
      <c r="AF1022" s="1">
        <v>10013</v>
      </c>
      <c r="AI1022" s="1" t="s">
        <v>852</v>
      </c>
      <c r="AJ1022" s="1">
        <v>2014</v>
      </c>
      <c r="AK1022" s="1" t="s">
        <v>49</v>
      </c>
      <c r="AL1022" s="1">
        <v>66</v>
      </c>
    </row>
    <row r="1023" spans="1:38" x14ac:dyDescent="0.2">
      <c r="A1023" s="2" t="str">
        <f>HYPERLINK("https://www.compass.com/listing/71-laight-street-unit-1c-manhattan-ny-10013/29359345200289137/","71 Laight St, Unit 1C")</f>
        <v>71 Laight St, Unit 1C</v>
      </c>
      <c r="B1023" s="2" t="str">
        <f>HYPERLINK("https://www.compass.com/building/the-sterling-mason-manhattan-ny/281919618778432805/","The Sterling Mason")</f>
        <v>The Sterling Mason</v>
      </c>
      <c r="C1023" s="1" t="s">
        <v>65</v>
      </c>
      <c r="D1023" s="1" t="s">
        <v>41</v>
      </c>
      <c r="E1023" s="3">
        <v>1883763</v>
      </c>
      <c r="F1023" s="1">
        <v>1318.23827851644</v>
      </c>
      <c r="M1023" s="4">
        <v>1429</v>
      </c>
      <c r="Q1023" s="1" t="s">
        <v>42</v>
      </c>
      <c r="S1023" s="1" t="s">
        <v>42</v>
      </c>
      <c r="T1023" s="1" t="s">
        <v>153</v>
      </c>
      <c r="AA1023" s="1">
        <v>1883762.5</v>
      </c>
      <c r="AB1023" s="1" t="s">
        <v>853</v>
      </c>
      <c r="AC1023" s="5">
        <v>42437</v>
      </c>
      <c r="AF1023" s="1">
        <v>10013</v>
      </c>
      <c r="AI1023" s="1" t="s">
        <v>66</v>
      </c>
      <c r="AJ1023" s="1">
        <v>2015</v>
      </c>
      <c r="AK1023" s="1" t="s">
        <v>49</v>
      </c>
      <c r="AL1023" s="1">
        <v>33</v>
      </c>
    </row>
    <row r="1024" spans="1:38" x14ac:dyDescent="0.2">
      <c r="A1024" s="2" t="str">
        <f>HYPERLINK("https://www.compass.com/listing/21-east-61st-street-unit-6f-manhattan-ny-10065/29410732059764689/","21 E 61st St, Unit 6F")</f>
        <v>21 E 61st St, Unit 6F</v>
      </c>
      <c r="B1024" s="2" t="str">
        <f t="shared" ref="B1024:B1072" si="151">HYPERLINK("https://www.compass.com/building/the-carlton-house-manhattan-ny/292926373863910149/","The Carlton House")</f>
        <v>The Carlton House</v>
      </c>
      <c r="C1024" s="1" t="s">
        <v>98</v>
      </c>
      <c r="D1024" s="1" t="s">
        <v>41</v>
      </c>
      <c r="E1024" s="3">
        <v>3312563</v>
      </c>
      <c r="F1024" s="1">
        <v>2776.6663872590102</v>
      </c>
      <c r="G1024" s="1">
        <v>4</v>
      </c>
      <c r="H1024" s="1">
        <v>2</v>
      </c>
      <c r="I1024" s="1">
        <v>2</v>
      </c>
      <c r="J1024" s="1">
        <v>2</v>
      </c>
      <c r="M1024" s="4">
        <v>1193</v>
      </c>
      <c r="N1024" s="1">
        <v>3821</v>
      </c>
      <c r="O1024" s="1">
        <v>3821</v>
      </c>
      <c r="Q1024" s="1" t="s">
        <v>836</v>
      </c>
      <c r="S1024" s="1" t="s">
        <v>836</v>
      </c>
      <c r="T1024" s="1" t="s">
        <v>153</v>
      </c>
      <c r="U1024" s="1">
        <v>28</v>
      </c>
      <c r="V1024" s="5">
        <v>43654</v>
      </c>
      <c r="W1024" s="5">
        <v>41513</v>
      </c>
      <c r="X1024" s="1">
        <v>3250000</v>
      </c>
      <c r="Y1024" s="1">
        <v>3250000</v>
      </c>
      <c r="Z1024" s="5">
        <v>41653</v>
      </c>
      <c r="AA1024" s="1">
        <v>3312563</v>
      </c>
      <c r="AB1024" s="1" t="s">
        <v>854</v>
      </c>
      <c r="AC1024" s="5">
        <v>41965</v>
      </c>
      <c r="AF1024" s="1">
        <v>10065</v>
      </c>
      <c r="AI1024" s="1" t="s">
        <v>163</v>
      </c>
      <c r="AJ1024" s="1">
        <v>1951</v>
      </c>
      <c r="AK1024" s="1" t="s">
        <v>46</v>
      </c>
      <c r="AL1024" s="1">
        <v>68</v>
      </c>
    </row>
    <row r="1025" spans="1:38" x14ac:dyDescent="0.2">
      <c r="A1025" s="2" t="str">
        <f>HYPERLINK("https://www.compass.com/listing/21-east-61st-street-unit-3d-manhattan-ny-10065/29410734517543025/","21 E 61st St, Unit 3D")</f>
        <v>21 E 61st St, Unit 3D</v>
      </c>
      <c r="B1025" s="2" t="str">
        <f t="shared" si="151"/>
        <v>The Carlton House</v>
      </c>
      <c r="C1025" s="1" t="s">
        <v>98</v>
      </c>
      <c r="D1025" s="1" t="s">
        <v>41</v>
      </c>
      <c r="E1025" s="3">
        <v>3975000</v>
      </c>
      <c r="F1025" s="1">
        <v>2783.6134453781501</v>
      </c>
      <c r="G1025" s="1">
        <v>4.5</v>
      </c>
      <c r="H1025" s="1">
        <v>2</v>
      </c>
      <c r="I1025" s="1">
        <v>2</v>
      </c>
      <c r="J1025" s="1">
        <v>2</v>
      </c>
      <c r="K1025" s="1">
        <v>2</v>
      </c>
      <c r="M1025" s="4">
        <v>1428</v>
      </c>
      <c r="N1025" s="1">
        <v>4445</v>
      </c>
      <c r="O1025" s="1">
        <v>4445</v>
      </c>
      <c r="Q1025" s="1" t="s">
        <v>836</v>
      </c>
      <c r="S1025" s="1" t="s">
        <v>836</v>
      </c>
      <c r="T1025" s="1" t="s">
        <v>153</v>
      </c>
      <c r="U1025" s="1">
        <v>254</v>
      </c>
      <c r="V1025" s="5">
        <v>43673</v>
      </c>
      <c r="W1025" s="5">
        <v>42432</v>
      </c>
      <c r="X1025" s="1">
        <v>4850000</v>
      </c>
      <c r="Y1025" s="1">
        <v>4350000</v>
      </c>
      <c r="Z1025" s="5">
        <v>42686</v>
      </c>
      <c r="AA1025" s="1">
        <v>3975000</v>
      </c>
      <c r="AB1025" s="1" t="s">
        <v>855</v>
      </c>
      <c r="AC1025" s="5">
        <v>42727</v>
      </c>
      <c r="AF1025" s="1">
        <v>10065</v>
      </c>
      <c r="AJ1025" s="1">
        <v>1951</v>
      </c>
      <c r="AK1025" s="1" t="s">
        <v>46</v>
      </c>
      <c r="AL1025" s="1">
        <v>68</v>
      </c>
    </row>
    <row r="1026" spans="1:38" x14ac:dyDescent="0.2">
      <c r="A1026" s="2" t="str">
        <f>HYPERLINK("https://www.compass.com/listing/21-east-61st-street-unit-6c-manhattan-ny-10065/29410725566898081/","21 E 61st St, Unit 6C")</f>
        <v>21 E 61st St, Unit 6C</v>
      </c>
      <c r="B1026" s="2" t="str">
        <f t="shared" si="151"/>
        <v>The Carlton House</v>
      </c>
      <c r="C1026" s="1" t="s">
        <v>98</v>
      </c>
      <c r="D1026" s="1" t="s">
        <v>41</v>
      </c>
      <c r="E1026" s="3">
        <v>4636288</v>
      </c>
      <c r="F1026" s="1">
        <v>3233.1154114365399</v>
      </c>
      <c r="G1026" s="1">
        <v>4.5</v>
      </c>
      <c r="H1026" s="1">
        <v>2</v>
      </c>
      <c r="I1026" s="1">
        <v>3</v>
      </c>
      <c r="J1026" s="1">
        <v>2.5</v>
      </c>
      <c r="M1026" s="4">
        <v>1434</v>
      </c>
      <c r="N1026" s="1">
        <v>4476</v>
      </c>
      <c r="O1026" s="1">
        <v>4476</v>
      </c>
      <c r="Q1026" s="1" t="s">
        <v>836</v>
      </c>
      <c r="S1026" s="1" t="s">
        <v>836</v>
      </c>
      <c r="T1026" s="1" t="s">
        <v>153</v>
      </c>
      <c r="V1026" s="5">
        <v>41640</v>
      </c>
      <c r="Y1026" s="1">
        <v>4550000</v>
      </c>
      <c r="Z1026" s="5">
        <v>42105</v>
      </c>
      <c r="AA1026" s="1">
        <v>4636287.5</v>
      </c>
      <c r="AB1026" s="1" t="s">
        <v>856</v>
      </c>
      <c r="AC1026" s="5">
        <v>41963</v>
      </c>
      <c r="AF1026" s="1">
        <v>10065</v>
      </c>
      <c r="AI1026" s="1" t="s">
        <v>163</v>
      </c>
      <c r="AJ1026" s="1">
        <v>1951</v>
      </c>
      <c r="AK1026" s="1" t="s">
        <v>99</v>
      </c>
      <c r="AL1026" s="1">
        <v>68</v>
      </c>
    </row>
    <row r="1027" spans="1:38" x14ac:dyDescent="0.2">
      <c r="A1027" s="2" t="str">
        <f>HYPERLINK("https://www.compass.com/listing/21-east-61st-street-unit-8a-manhattan-ny-10065/29410725105528529/","21 E 61st St, Unit 8A")</f>
        <v>21 E 61st St, Unit 8A</v>
      </c>
      <c r="B1027" s="2" t="str">
        <f t="shared" si="151"/>
        <v>The Carlton House</v>
      </c>
      <c r="C1027" s="1" t="s">
        <v>98</v>
      </c>
      <c r="D1027" s="1" t="s">
        <v>41</v>
      </c>
      <c r="E1027" s="3">
        <v>8200000</v>
      </c>
      <c r="F1027" s="1">
        <v>3356.5288579615199</v>
      </c>
      <c r="G1027" s="1">
        <v>6</v>
      </c>
      <c r="H1027" s="1">
        <v>3</v>
      </c>
      <c r="I1027" s="1">
        <v>4</v>
      </c>
      <c r="J1027" s="1">
        <v>3.5</v>
      </c>
      <c r="K1027" s="1">
        <v>3</v>
      </c>
      <c r="L1027" s="1">
        <v>1</v>
      </c>
      <c r="M1027" s="4">
        <v>2443</v>
      </c>
      <c r="N1027" s="1">
        <v>7683</v>
      </c>
      <c r="O1027" s="1">
        <v>7683</v>
      </c>
      <c r="Q1027" s="1" t="s">
        <v>836</v>
      </c>
      <c r="S1027" s="1" t="s">
        <v>836</v>
      </c>
      <c r="T1027" s="1" t="s">
        <v>153</v>
      </c>
      <c r="U1027" s="1">
        <v>49</v>
      </c>
      <c r="V1027" s="5">
        <v>43663</v>
      </c>
      <c r="W1027" s="5">
        <v>42564</v>
      </c>
      <c r="X1027" s="1">
        <v>8700000</v>
      </c>
      <c r="Y1027" s="1">
        <v>8700000</v>
      </c>
      <c r="Z1027" s="5">
        <v>42613</v>
      </c>
      <c r="AA1027" s="1">
        <v>8200000</v>
      </c>
      <c r="AB1027" s="1" t="s">
        <v>857</v>
      </c>
      <c r="AC1027" s="5">
        <v>42633</v>
      </c>
      <c r="AF1027" s="1">
        <v>10065</v>
      </c>
      <c r="AJ1027" s="1">
        <v>1951</v>
      </c>
      <c r="AK1027" s="1" t="s">
        <v>46</v>
      </c>
      <c r="AL1027" s="1">
        <v>68</v>
      </c>
    </row>
    <row r="1028" spans="1:38" x14ac:dyDescent="0.2">
      <c r="A1028" s="2" t="str">
        <f>HYPERLINK("https://www.compass.com/listing/21-east-61st-street-unit-5c-manhattan-ny-10065/29410708051568033/","21 E 61st St, Unit 5C")</f>
        <v>21 E 61st St, Unit 5C</v>
      </c>
      <c r="B1028" s="2" t="str">
        <f t="shared" si="151"/>
        <v>The Carlton House</v>
      </c>
      <c r="C1028" s="1" t="s">
        <v>98</v>
      </c>
      <c r="D1028" s="1" t="s">
        <v>41</v>
      </c>
      <c r="E1028" s="3">
        <v>4636288</v>
      </c>
      <c r="F1028" s="1">
        <v>3233.1154114365399</v>
      </c>
      <c r="G1028" s="1">
        <v>4.5</v>
      </c>
      <c r="H1028" s="1">
        <v>2</v>
      </c>
      <c r="I1028" s="1">
        <v>3</v>
      </c>
      <c r="J1028" s="1">
        <v>2.5</v>
      </c>
      <c r="M1028" s="4">
        <v>1434</v>
      </c>
      <c r="N1028" s="1">
        <v>4476</v>
      </c>
      <c r="O1028" s="1">
        <v>4476</v>
      </c>
      <c r="Q1028" s="1" t="s">
        <v>836</v>
      </c>
      <c r="S1028" s="1" t="s">
        <v>836</v>
      </c>
      <c r="T1028" s="1" t="s">
        <v>153</v>
      </c>
      <c r="V1028" s="5">
        <v>41640</v>
      </c>
      <c r="Y1028" s="1">
        <v>4550000</v>
      </c>
      <c r="Z1028" s="5">
        <v>42105</v>
      </c>
      <c r="AA1028" s="1">
        <v>4636287.5</v>
      </c>
      <c r="AB1028" s="1" t="s">
        <v>858</v>
      </c>
      <c r="AC1028" s="5">
        <v>41990</v>
      </c>
      <c r="AF1028" s="1">
        <v>10065</v>
      </c>
      <c r="AJ1028" s="1">
        <v>1951</v>
      </c>
      <c r="AK1028" s="1" t="s">
        <v>99</v>
      </c>
      <c r="AL1028" s="1">
        <v>68</v>
      </c>
    </row>
    <row r="1029" spans="1:38" x14ac:dyDescent="0.2">
      <c r="A1029" s="2" t="str">
        <f>HYPERLINK("https://www.compass.com/listing/21-east-61st-street-unit-5d-manhattan-ny-10065/29410711105021409/","21 E 61st St, Unit 5D")</f>
        <v>21 E 61st St, Unit 5D</v>
      </c>
      <c r="B1029" s="2" t="str">
        <f t="shared" si="151"/>
        <v>The Carlton House</v>
      </c>
      <c r="C1029" s="1" t="s">
        <v>98</v>
      </c>
      <c r="D1029" s="1" t="s">
        <v>41</v>
      </c>
      <c r="E1029" s="3">
        <v>4636288</v>
      </c>
      <c r="F1029" s="1">
        <v>3246.6999299719801</v>
      </c>
      <c r="G1029" s="1">
        <v>4.5</v>
      </c>
      <c r="H1029" s="1">
        <v>2</v>
      </c>
      <c r="I1029" s="1">
        <v>3</v>
      </c>
      <c r="J1029" s="1">
        <v>2.5</v>
      </c>
      <c r="M1029" s="4">
        <v>1428</v>
      </c>
      <c r="N1029" s="1">
        <v>3186</v>
      </c>
      <c r="O1029" s="1">
        <v>3186</v>
      </c>
      <c r="Q1029" s="1" t="s">
        <v>836</v>
      </c>
      <c r="S1029" s="1" t="s">
        <v>836</v>
      </c>
      <c r="T1029" s="1" t="s">
        <v>153</v>
      </c>
      <c r="V1029" s="5">
        <v>41640</v>
      </c>
      <c r="Y1029" s="1">
        <v>4550000</v>
      </c>
      <c r="Z1029" s="5">
        <v>42105</v>
      </c>
      <c r="AA1029" s="1">
        <v>4636287.5</v>
      </c>
      <c r="AB1029" s="1" t="s">
        <v>859</v>
      </c>
      <c r="AC1029" s="5">
        <v>42012</v>
      </c>
      <c r="AF1029" s="1">
        <v>10065</v>
      </c>
      <c r="AI1029" s="1" t="s">
        <v>163</v>
      </c>
      <c r="AJ1029" s="1">
        <v>1951</v>
      </c>
      <c r="AK1029" s="1" t="s">
        <v>99</v>
      </c>
      <c r="AL1029" s="1">
        <v>68</v>
      </c>
    </row>
    <row r="1030" spans="1:38" x14ac:dyDescent="0.2">
      <c r="A1030" s="2" t="str">
        <f>HYPERLINK("https://www.compass.com/listing/21-east-61st-street-unit-3c-manhattan-ny-10065/29410712136820209/","21 E 61st St, Unit 3C")</f>
        <v>21 E 61st St, Unit 3C</v>
      </c>
      <c r="B1030" s="2" t="str">
        <f t="shared" si="151"/>
        <v>The Carlton House</v>
      </c>
      <c r="C1030" s="1" t="s">
        <v>98</v>
      </c>
      <c r="D1030" s="1" t="s">
        <v>41</v>
      </c>
      <c r="E1030" s="3">
        <v>4636288</v>
      </c>
      <c r="F1030" s="1">
        <v>3233.1154114365399</v>
      </c>
      <c r="G1030" s="1">
        <v>4</v>
      </c>
      <c r="H1030" s="1">
        <v>2</v>
      </c>
      <c r="I1030" s="1">
        <v>3</v>
      </c>
      <c r="J1030" s="1">
        <v>2.5</v>
      </c>
      <c r="M1030" s="4">
        <v>1434</v>
      </c>
      <c r="N1030" s="1">
        <v>4421</v>
      </c>
      <c r="O1030" s="1">
        <v>4421</v>
      </c>
      <c r="Q1030" s="1" t="s">
        <v>836</v>
      </c>
      <c r="S1030" s="1" t="s">
        <v>836</v>
      </c>
      <c r="T1030" s="1" t="s">
        <v>153</v>
      </c>
      <c r="V1030" s="5">
        <v>41640</v>
      </c>
      <c r="Y1030" s="1">
        <v>4550000</v>
      </c>
      <c r="Z1030" s="5">
        <v>42105</v>
      </c>
      <c r="AA1030" s="1">
        <v>4636287.5</v>
      </c>
      <c r="AB1030" s="1" t="s">
        <v>860</v>
      </c>
      <c r="AC1030" s="5">
        <v>42181</v>
      </c>
      <c r="AF1030" s="1">
        <v>10065</v>
      </c>
      <c r="AI1030" s="1" t="s">
        <v>163</v>
      </c>
      <c r="AJ1030" s="1">
        <v>1951</v>
      </c>
      <c r="AK1030" s="1" t="s">
        <v>99</v>
      </c>
      <c r="AL1030" s="1">
        <v>68</v>
      </c>
    </row>
    <row r="1031" spans="1:38" x14ac:dyDescent="0.2">
      <c r="A1031" s="2" t="str">
        <f>HYPERLINK("https://www.compass.com/listing/21-east-61st-street-unit-8c-manhattan-ny-10065/29410729618595825/","21 E 61st St, Unit 8C")</f>
        <v>21 E 61st St, Unit 8C</v>
      </c>
      <c r="B1031" s="2" t="str">
        <f t="shared" si="151"/>
        <v>The Carlton House</v>
      </c>
      <c r="C1031" s="1" t="s">
        <v>98</v>
      </c>
      <c r="D1031" s="1" t="s">
        <v>41</v>
      </c>
      <c r="E1031" s="3">
        <v>5043588</v>
      </c>
      <c r="F1031" s="1">
        <v>3517.1460948396002</v>
      </c>
      <c r="G1031" s="1">
        <v>4.5</v>
      </c>
      <c r="H1031" s="1">
        <v>2</v>
      </c>
      <c r="I1031" s="1">
        <v>3</v>
      </c>
      <c r="J1031" s="1">
        <v>2.5</v>
      </c>
      <c r="M1031" s="4">
        <v>1434</v>
      </c>
      <c r="N1031" s="1">
        <v>4530</v>
      </c>
      <c r="O1031" s="1">
        <v>4530</v>
      </c>
      <c r="Q1031" s="1" t="s">
        <v>836</v>
      </c>
      <c r="S1031" s="1" t="s">
        <v>836</v>
      </c>
      <c r="T1031" s="1" t="s">
        <v>153</v>
      </c>
      <c r="V1031" s="5">
        <v>41640</v>
      </c>
      <c r="Y1031" s="1">
        <v>4750000</v>
      </c>
      <c r="Z1031" s="5">
        <v>42105</v>
      </c>
      <c r="AA1031" s="1">
        <v>5043587.5</v>
      </c>
      <c r="AB1031" s="1" t="s">
        <v>861</v>
      </c>
      <c r="AC1031" s="5">
        <v>41989</v>
      </c>
      <c r="AF1031" s="1">
        <v>10065</v>
      </c>
      <c r="AI1031" s="1" t="s">
        <v>163</v>
      </c>
      <c r="AJ1031" s="1">
        <v>1951</v>
      </c>
      <c r="AK1031" s="1" t="s">
        <v>99</v>
      </c>
      <c r="AL1031" s="1">
        <v>68</v>
      </c>
    </row>
    <row r="1032" spans="1:38" x14ac:dyDescent="0.2">
      <c r="A1032" s="2" t="str">
        <f>HYPERLINK("https://www.compass.com/listing/21-east-61st-street-unit-12b-manhattan-ny-10065/29410722832295697/","21 E 61st St, Unit 12B")</f>
        <v>21 E 61st St, Unit 12B</v>
      </c>
      <c r="B1032" s="2" t="str">
        <f t="shared" si="151"/>
        <v>The Carlton House</v>
      </c>
      <c r="C1032" s="1" t="s">
        <v>98</v>
      </c>
      <c r="D1032" s="1" t="s">
        <v>41</v>
      </c>
      <c r="E1032" s="3">
        <v>9175000</v>
      </c>
      <c r="F1032" s="1">
        <v>4645.5696202531599</v>
      </c>
      <c r="G1032" s="1">
        <v>5</v>
      </c>
      <c r="H1032" s="1">
        <v>3</v>
      </c>
      <c r="I1032" s="1">
        <v>3</v>
      </c>
      <c r="J1032" s="1">
        <v>2.5</v>
      </c>
      <c r="M1032" s="4">
        <v>1975</v>
      </c>
      <c r="N1032" s="1">
        <v>6366</v>
      </c>
      <c r="O1032" s="1">
        <v>6366</v>
      </c>
      <c r="Q1032" s="1" t="s">
        <v>836</v>
      </c>
      <c r="S1032" s="1" t="s">
        <v>836</v>
      </c>
      <c r="T1032" s="1" t="s">
        <v>153</v>
      </c>
      <c r="U1032" s="1">
        <v>157</v>
      </c>
      <c r="V1032" s="5">
        <v>43649</v>
      </c>
      <c r="W1032" s="5">
        <v>42756</v>
      </c>
      <c r="X1032" s="1">
        <v>10000000</v>
      </c>
      <c r="Y1032" s="1">
        <v>10000000</v>
      </c>
      <c r="Z1032" s="5">
        <v>42913</v>
      </c>
      <c r="AA1032" s="1">
        <v>9175000</v>
      </c>
      <c r="AB1032" s="1" t="s">
        <v>862</v>
      </c>
      <c r="AC1032" s="5">
        <v>42996</v>
      </c>
      <c r="AF1032" s="1">
        <v>10065</v>
      </c>
      <c r="AI1032" s="1" t="s">
        <v>146</v>
      </c>
      <c r="AJ1032" s="1">
        <v>1951</v>
      </c>
      <c r="AK1032" s="1" t="s">
        <v>49</v>
      </c>
      <c r="AL1032" s="1">
        <v>68</v>
      </c>
    </row>
    <row r="1033" spans="1:38" x14ac:dyDescent="0.2">
      <c r="A1033" s="2" t="str">
        <f>HYPERLINK("https://www.compass.com/listing/21-east-61st-street-unit-12f-manhattan-ny-10065/29410724056952497/","21 E 61st St, Unit 12F")</f>
        <v>21 E 61st St, Unit 12F</v>
      </c>
      <c r="B1033" s="2" t="str">
        <f t="shared" si="151"/>
        <v>The Carlton House</v>
      </c>
      <c r="C1033" s="1" t="s">
        <v>98</v>
      </c>
      <c r="D1033" s="1" t="s">
        <v>41</v>
      </c>
      <c r="E1033" s="3">
        <v>9233686</v>
      </c>
      <c r="F1033" s="1">
        <v>4628.4141604010001</v>
      </c>
      <c r="G1033" s="1">
        <v>6.5</v>
      </c>
      <c r="H1033" s="1">
        <v>3</v>
      </c>
      <c r="I1033" s="1">
        <v>3</v>
      </c>
      <c r="J1033" s="1">
        <v>2.5</v>
      </c>
      <c r="M1033" s="4">
        <v>1995</v>
      </c>
      <c r="N1033" s="1">
        <v>6386</v>
      </c>
      <c r="O1033" s="1">
        <v>6386</v>
      </c>
      <c r="Q1033" s="1" t="s">
        <v>836</v>
      </c>
      <c r="S1033" s="1" t="s">
        <v>836</v>
      </c>
      <c r="T1033" s="1" t="s">
        <v>153</v>
      </c>
      <c r="V1033" s="5">
        <v>41640</v>
      </c>
      <c r="Y1033" s="1">
        <v>9000000</v>
      </c>
      <c r="Z1033" s="5">
        <v>42105</v>
      </c>
      <c r="AA1033" s="1">
        <v>9233686.25</v>
      </c>
      <c r="AB1033" s="1" t="s">
        <v>863</v>
      </c>
      <c r="AC1033" s="5">
        <v>42073</v>
      </c>
      <c r="AF1033" s="1">
        <v>10065</v>
      </c>
      <c r="AI1033" s="1" t="s">
        <v>163</v>
      </c>
      <c r="AJ1033" s="1">
        <v>1951</v>
      </c>
      <c r="AK1033" s="1" t="s">
        <v>99</v>
      </c>
      <c r="AL1033" s="1">
        <v>68</v>
      </c>
    </row>
    <row r="1034" spans="1:38" x14ac:dyDescent="0.2">
      <c r="A1034" s="2" t="str">
        <f>HYPERLINK("https://www.compass.com/listing/21-east-61st-street-unit-16a-manhattan-ny-10065/29410717941657169/","21 E 61st St, Unit 16A")</f>
        <v>21 E 61st St, Unit 16A</v>
      </c>
      <c r="B1034" s="2" t="str">
        <f t="shared" si="151"/>
        <v>The Carlton House</v>
      </c>
      <c r="C1034" s="1" t="s">
        <v>98</v>
      </c>
      <c r="D1034" s="1" t="s">
        <v>41</v>
      </c>
      <c r="E1034" s="3">
        <v>15277000</v>
      </c>
      <c r="F1034" s="1">
        <v>4364.8571428571404</v>
      </c>
      <c r="G1034" s="1">
        <v>8</v>
      </c>
      <c r="H1034" s="1">
        <v>3</v>
      </c>
      <c r="I1034" s="1">
        <v>5</v>
      </c>
      <c r="J1034" s="1">
        <v>4.5</v>
      </c>
      <c r="M1034" s="4">
        <v>3500</v>
      </c>
      <c r="N1034" s="1">
        <v>12018</v>
      </c>
      <c r="O1034" s="1">
        <v>12018</v>
      </c>
      <c r="Q1034" s="1" t="s">
        <v>836</v>
      </c>
      <c r="S1034" s="1" t="s">
        <v>836</v>
      </c>
      <c r="T1034" s="1" t="s">
        <v>153</v>
      </c>
      <c r="U1034" s="1">
        <v>254</v>
      </c>
      <c r="V1034" s="5">
        <v>43662</v>
      </c>
      <c r="W1034" s="5">
        <v>42570</v>
      </c>
      <c r="X1034" s="1">
        <v>19900000</v>
      </c>
      <c r="Y1034" s="1">
        <v>17900000</v>
      </c>
      <c r="Z1034" s="5">
        <v>42824</v>
      </c>
      <c r="AA1034" s="1">
        <v>15277000</v>
      </c>
      <c r="AB1034" s="1" t="s">
        <v>864</v>
      </c>
      <c r="AC1034" s="5">
        <v>42871</v>
      </c>
      <c r="AF1034" s="1">
        <v>10065</v>
      </c>
      <c r="AI1034" s="1" t="s">
        <v>865</v>
      </c>
      <c r="AJ1034" s="1">
        <v>1951</v>
      </c>
      <c r="AK1034" s="1" t="s">
        <v>49</v>
      </c>
      <c r="AL1034" s="1">
        <v>68</v>
      </c>
    </row>
    <row r="1035" spans="1:38" x14ac:dyDescent="0.2">
      <c r="A1035" s="2" t="str">
        <f>HYPERLINK("https://www.compass.com/listing/21-east-61st-street-unit-9a-manhattan-ny-10065/461062188694880793/","21 E 61st St, Unit 9A")</f>
        <v>21 E 61st St, Unit 9A</v>
      </c>
      <c r="B1035" s="2" t="str">
        <f t="shared" si="151"/>
        <v>The Carlton House</v>
      </c>
      <c r="C1035" s="1" t="s">
        <v>98</v>
      </c>
      <c r="D1035" s="1" t="s">
        <v>41</v>
      </c>
      <c r="E1035" s="3">
        <v>4650000</v>
      </c>
      <c r="F1035" s="1">
        <v>1903.3974621367099</v>
      </c>
      <c r="G1035" s="1">
        <v>6.5</v>
      </c>
      <c r="H1035" s="1">
        <v>3</v>
      </c>
      <c r="I1035" s="1">
        <v>4</v>
      </c>
      <c r="J1035" s="1">
        <v>3.5</v>
      </c>
      <c r="K1035" s="1">
        <v>3</v>
      </c>
      <c r="L1035" s="1">
        <v>1</v>
      </c>
      <c r="M1035" s="4">
        <v>2443</v>
      </c>
      <c r="N1035" s="1">
        <v>9220</v>
      </c>
      <c r="O1035" s="1">
        <v>9220</v>
      </c>
      <c r="Q1035" s="1" t="s">
        <v>836</v>
      </c>
      <c r="S1035" s="1" t="s">
        <v>866</v>
      </c>
      <c r="T1035" s="1" t="s">
        <v>153</v>
      </c>
      <c r="U1035" s="1">
        <v>23</v>
      </c>
      <c r="V1035" s="5">
        <v>44022</v>
      </c>
      <c r="W1035" s="5">
        <v>43886</v>
      </c>
      <c r="X1035" s="1">
        <v>5975000</v>
      </c>
      <c r="Y1035" s="1">
        <v>5200000</v>
      </c>
      <c r="Z1035" s="5">
        <v>43980</v>
      </c>
      <c r="AA1035" s="1">
        <v>4650000</v>
      </c>
      <c r="AB1035" s="1" t="s">
        <v>867</v>
      </c>
      <c r="AC1035" s="5">
        <v>44019</v>
      </c>
      <c r="AF1035" s="1">
        <v>10065</v>
      </c>
      <c r="AJ1035" s="1">
        <v>1951</v>
      </c>
      <c r="AK1035" s="1" t="s">
        <v>49</v>
      </c>
      <c r="AL1035" s="1">
        <v>68</v>
      </c>
    </row>
    <row r="1036" spans="1:38" x14ac:dyDescent="0.2">
      <c r="A1036" s="2" t="str">
        <f>HYPERLINK("https://www.compass.com/listing/21-east-61st-street-unit-11e-manhattan-ny-10065/29410706474425809/","21 E 61st St, Unit 11E")</f>
        <v>21 E 61st St, Unit 11E</v>
      </c>
      <c r="B1036" s="2" t="str">
        <f t="shared" si="151"/>
        <v>The Carlton House</v>
      </c>
      <c r="C1036" s="1" t="s">
        <v>98</v>
      </c>
      <c r="D1036" s="1" t="s">
        <v>41</v>
      </c>
      <c r="E1036" s="3">
        <v>9574800</v>
      </c>
      <c r="F1036" s="1">
        <v>4014.5911949685501</v>
      </c>
      <c r="G1036" s="1">
        <v>7</v>
      </c>
      <c r="H1036" s="1">
        <v>3</v>
      </c>
      <c r="I1036" s="1">
        <v>4</v>
      </c>
      <c r="J1036" s="1">
        <v>3.5</v>
      </c>
      <c r="M1036" s="4">
        <v>2385</v>
      </c>
      <c r="N1036" s="1">
        <v>7641</v>
      </c>
      <c r="O1036" s="1">
        <v>7641</v>
      </c>
      <c r="Q1036" s="1" t="s">
        <v>836</v>
      </c>
      <c r="S1036" s="1" t="s">
        <v>836</v>
      </c>
      <c r="T1036" s="1" t="s">
        <v>153</v>
      </c>
      <c r="V1036" s="5">
        <v>41640</v>
      </c>
      <c r="Y1036" s="1">
        <v>9400000</v>
      </c>
      <c r="Z1036" s="5">
        <v>42105</v>
      </c>
      <c r="AA1036" s="1">
        <v>9574800</v>
      </c>
      <c r="AB1036" s="1" t="s">
        <v>868</v>
      </c>
      <c r="AC1036" s="5">
        <v>42065</v>
      </c>
      <c r="AF1036" s="1">
        <v>10065</v>
      </c>
      <c r="AI1036" s="1" t="s">
        <v>163</v>
      </c>
      <c r="AJ1036" s="1">
        <v>1951</v>
      </c>
      <c r="AK1036" s="1" t="s">
        <v>99</v>
      </c>
      <c r="AL1036" s="1">
        <v>68</v>
      </c>
    </row>
    <row r="1037" spans="1:38" x14ac:dyDescent="0.2">
      <c r="A1037" s="2" t="str">
        <f>HYPERLINK("https://www.compass.com/listing/21-east-61st-street-unit-3a-manhattan-ny-10065/29410713487306193/","21 E 61st St, Unit 3A")</f>
        <v>21 E 61st St, Unit 3A</v>
      </c>
      <c r="B1037" s="2" t="str">
        <f t="shared" si="151"/>
        <v>The Carlton House</v>
      </c>
      <c r="C1037" s="1" t="s">
        <v>98</v>
      </c>
      <c r="D1037" s="1" t="s">
        <v>41</v>
      </c>
      <c r="E1037" s="3">
        <v>8149250</v>
      </c>
      <c r="F1037" s="1">
        <v>3335.7552189930402</v>
      </c>
      <c r="G1037" s="1">
        <v>8</v>
      </c>
      <c r="H1037" s="1">
        <v>3</v>
      </c>
      <c r="I1037" s="1">
        <v>4</v>
      </c>
      <c r="J1037" s="1">
        <v>3.5</v>
      </c>
      <c r="M1037" s="4">
        <v>2443</v>
      </c>
      <c r="N1037" s="1">
        <v>8133</v>
      </c>
      <c r="O1037" s="1">
        <v>8133</v>
      </c>
      <c r="Q1037" s="1" t="s">
        <v>836</v>
      </c>
      <c r="S1037" s="1" t="s">
        <v>836</v>
      </c>
      <c r="T1037" s="1" t="s">
        <v>153</v>
      </c>
      <c r="V1037" s="5">
        <v>41640</v>
      </c>
      <c r="Y1037" s="1">
        <v>8000000</v>
      </c>
      <c r="Z1037" s="5">
        <v>42105</v>
      </c>
      <c r="AA1037" s="1">
        <v>8149250</v>
      </c>
      <c r="AB1037" s="1" t="s">
        <v>869</v>
      </c>
      <c r="AC1037" s="5">
        <v>42152</v>
      </c>
      <c r="AF1037" s="1">
        <v>10065</v>
      </c>
      <c r="AI1037" s="1" t="s">
        <v>163</v>
      </c>
      <c r="AJ1037" s="1">
        <v>1951</v>
      </c>
      <c r="AK1037" s="1" t="s">
        <v>99</v>
      </c>
      <c r="AL1037" s="1">
        <v>68</v>
      </c>
    </row>
    <row r="1038" spans="1:38" x14ac:dyDescent="0.2">
      <c r="A1038" s="2" t="str">
        <f>HYPERLINK("https://www.compass.com/listing/21-east-61st-street-unit-12a-manhattan-ny-10065/29410721775331057/","21 E 61st St, Unit 12A")</f>
        <v>21 E 61st St, Unit 12A</v>
      </c>
      <c r="B1038" s="2" t="str">
        <f t="shared" si="151"/>
        <v>The Carlton House</v>
      </c>
      <c r="C1038" s="1" t="s">
        <v>98</v>
      </c>
      <c r="D1038" s="1" t="s">
        <v>41</v>
      </c>
      <c r="E1038" s="3">
        <v>9320238</v>
      </c>
      <c r="F1038" s="1">
        <v>4190.7542715827303</v>
      </c>
      <c r="G1038" s="1">
        <v>6.5</v>
      </c>
      <c r="H1038" s="1">
        <v>3</v>
      </c>
      <c r="I1038" s="1">
        <v>4</v>
      </c>
      <c r="J1038" s="1">
        <v>3.5</v>
      </c>
      <c r="M1038" s="4">
        <v>2224</v>
      </c>
      <c r="N1038" s="1">
        <v>7150</v>
      </c>
      <c r="O1038" s="1">
        <v>7150</v>
      </c>
      <c r="Q1038" s="1" t="s">
        <v>836</v>
      </c>
      <c r="S1038" s="1" t="s">
        <v>836</v>
      </c>
      <c r="T1038" s="1" t="s">
        <v>153</v>
      </c>
      <c r="V1038" s="5">
        <v>41640</v>
      </c>
      <c r="Y1038" s="1">
        <v>9300000</v>
      </c>
      <c r="Z1038" s="5">
        <v>42105</v>
      </c>
      <c r="AA1038" s="1">
        <v>9320237.5</v>
      </c>
      <c r="AB1038" s="1" t="s">
        <v>870</v>
      </c>
      <c r="AC1038" s="5">
        <v>42067</v>
      </c>
      <c r="AF1038" s="1">
        <v>10065</v>
      </c>
      <c r="AI1038" s="1" t="s">
        <v>163</v>
      </c>
      <c r="AJ1038" s="1">
        <v>1951</v>
      </c>
      <c r="AK1038" s="1" t="s">
        <v>99</v>
      </c>
      <c r="AL1038" s="1">
        <v>68</v>
      </c>
    </row>
    <row r="1039" spans="1:38" x14ac:dyDescent="0.2">
      <c r="A1039" s="2" t="str">
        <f>HYPERLINK("https://www.compass.com/listing/21-east-61st-street-unit-8f-manhattan-ny-10065/29410728251256577/","21 E 61st St, Unit 8F")</f>
        <v>21 E 61st St, Unit 8F</v>
      </c>
      <c r="B1039" s="2" t="str">
        <f t="shared" si="151"/>
        <v>The Carlton House</v>
      </c>
      <c r="C1039" s="1" t="s">
        <v>98</v>
      </c>
      <c r="D1039" s="1" t="s">
        <v>41</v>
      </c>
      <c r="E1039" s="3">
        <v>8963850</v>
      </c>
      <c r="F1039" s="1">
        <v>3766.3235294117599</v>
      </c>
      <c r="G1039" s="1">
        <v>8.5</v>
      </c>
      <c r="H1039" s="1">
        <v>3</v>
      </c>
      <c r="I1039" s="1">
        <v>4</v>
      </c>
      <c r="J1039" s="1">
        <v>3.5</v>
      </c>
      <c r="M1039" s="4">
        <v>2380</v>
      </c>
      <c r="N1039" s="1">
        <v>7478</v>
      </c>
      <c r="O1039" s="1">
        <v>7478</v>
      </c>
      <c r="Q1039" s="1" t="s">
        <v>836</v>
      </c>
      <c r="S1039" s="1" t="s">
        <v>836</v>
      </c>
      <c r="T1039" s="1" t="s">
        <v>153</v>
      </c>
      <c r="V1039" s="5">
        <v>41640</v>
      </c>
      <c r="Y1039" s="1">
        <v>8800000</v>
      </c>
      <c r="Z1039" s="5">
        <v>42105</v>
      </c>
      <c r="AA1039" s="1">
        <v>8963850</v>
      </c>
      <c r="AB1039" s="1" t="s">
        <v>871</v>
      </c>
      <c r="AC1039" s="5">
        <v>42011</v>
      </c>
      <c r="AF1039" s="1">
        <v>10065</v>
      </c>
      <c r="AJ1039" s="1">
        <v>1951</v>
      </c>
      <c r="AK1039" s="1" t="s">
        <v>99</v>
      </c>
      <c r="AL1039" s="1">
        <v>68</v>
      </c>
    </row>
    <row r="1040" spans="1:38" x14ac:dyDescent="0.2">
      <c r="A1040" s="2" t="str">
        <f>HYPERLINK("https://www.compass.com/listing/21-east-61st-street-unit-10e-manhattan-ny-10065/29410728603574241/","21 E 61st St, Unit 10E")</f>
        <v>21 E 61st St, Unit 10E</v>
      </c>
      <c r="B1040" s="2" t="str">
        <f t="shared" si="151"/>
        <v>The Carlton House</v>
      </c>
      <c r="C1040" s="1" t="s">
        <v>98</v>
      </c>
      <c r="D1040" s="1" t="s">
        <v>41</v>
      </c>
      <c r="E1040" s="3">
        <v>8709288</v>
      </c>
      <c r="F1040" s="1">
        <v>3473.9878340646101</v>
      </c>
      <c r="G1040" s="1">
        <v>8.5</v>
      </c>
      <c r="H1040" s="1">
        <v>3</v>
      </c>
      <c r="I1040" s="1">
        <v>4</v>
      </c>
      <c r="J1040" s="1">
        <v>3.5</v>
      </c>
      <c r="M1040" s="4">
        <v>2507</v>
      </c>
      <c r="N1040" s="1">
        <v>8024</v>
      </c>
      <c r="O1040" s="1">
        <v>8024</v>
      </c>
      <c r="Q1040" s="1" t="s">
        <v>836</v>
      </c>
      <c r="S1040" s="1" t="s">
        <v>836</v>
      </c>
      <c r="T1040" s="1" t="s">
        <v>153</v>
      </c>
      <c r="V1040" s="5">
        <v>41640</v>
      </c>
      <c r="Y1040" s="1">
        <v>8550000</v>
      </c>
      <c r="Z1040" s="5">
        <v>42105</v>
      </c>
      <c r="AA1040" s="1">
        <v>8709287.5</v>
      </c>
      <c r="AB1040" s="1" t="s">
        <v>872</v>
      </c>
      <c r="AC1040" s="5">
        <v>42052</v>
      </c>
      <c r="AF1040" s="1">
        <v>10065</v>
      </c>
      <c r="AI1040" s="1" t="s">
        <v>163</v>
      </c>
      <c r="AJ1040" s="1">
        <v>1951</v>
      </c>
      <c r="AK1040" s="1" t="s">
        <v>99</v>
      </c>
      <c r="AL1040" s="1">
        <v>68</v>
      </c>
    </row>
    <row r="1041" spans="1:38" x14ac:dyDescent="0.2">
      <c r="A1041" s="2" t="str">
        <f>HYPERLINK("https://www.compass.com/listing/21-east-61st-street-unit-10f-manhattan-ny-10065/29410729971001265/","21 E 61st St, Unit 10F")</f>
        <v>21 E 61st St, Unit 10F</v>
      </c>
      <c r="B1041" s="2" t="str">
        <f t="shared" si="151"/>
        <v>The Carlton House</v>
      </c>
      <c r="C1041" s="1" t="s">
        <v>98</v>
      </c>
      <c r="D1041" s="1" t="s">
        <v>41</v>
      </c>
      <c r="E1041" s="3">
        <v>8811113</v>
      </c>
      <c r="F1041" s="1">
        <v>3749.4095744680799</v>
      </c>
      <c r="G1041" s="1">
        <v>8.5</v>
      </c>
      <c r="H1041" s="1">
        <v>3</v>
      </c>
      <c r="I1041" s="1">
        <v>4</v>
      </c>
      <c r="J1041" s="1">
        <v>3.5</v>
      </c>
      <c r="M1041" s="4">
        <v>2350</v>
      </c>
      <c r="N1041" s="1">
        <v>7587</v>
      </c>
      <c r="O1041" s="1">
        <v>7587</v>
      </c>
      <c r="Q1041" s="1" t="s">
        <v>836</v>
      </c>
      <c r="S1041" s="1" t="s">
        <v>836</v>
      </c>
      <c r="T1041" s="1" t="s">
        <v>153</v>
      </c>
      <c r="V1041" s="5">
        <v>41640</v>
      </c>
      <c r="Y1041" s="1">
        <v>9000000</v>
      </c>
      <c r="Z1041" s="5">
        <v>42105</v>
      </c>
      <c r="AA1041" s="1">
        <v>8811112.5</v>
      </c>
      <c r="AB1041" s="1" t="s">
        <v>873</v>
      </c>
      <c r="AC1041" s="5">
        <v>42082</v>
      </c>
      <c r="AF1041" s="1">
        <v>10065</v>
      </c>
      <c r="AI1041" s="1" t="s">
        <v>163</v>
      </c>
      <c r="AJ1041" s="1">
        <v>1951</v>
      </c>
      <c r="AK1041" s="1" t="s">
        <v>99</v>
      </c>
      <c r="AL1041" s="1">
        <v>68</v>
      </c>
    </row>
    <row r="1042" spans="1:38" x14ac:dyDescent="0.2">
      <c r="A1042" s="2" t="str">
        <f>HYPERLINK("https://www.compass.com/listing/21-east-61st-street-unit-10d-manhattan-ny-10065/167849139856604257/","21 E 61st St, Unit 10D")</f>
        <v>21 E 61st St, Unit 10D</v>
      </c>
      <c r="B1042" s="2" t="str">
        <f t="shared" si="151"/>
        <v>The Carlton House</v>
      </c>
      <c r="C1042" s="1" t="s">
        <v>98</v>
      </c>
      <c r="D1042" s="1" t="s">
        <v>41</v>
      </c>
      <c r="E1042" s="3">
        <v>4585375</v>
      </c>
      <c r="F1042" s="1">
        <v>3197.6115760111502</v>
      </c>
      <c r="G1042" s="1">
        <v>4.5</v>
      </c>
      <c r="H1042" s="1">
        <v>2</v>
      </c>
      <c r="I1042" s="1">
        <v>3</v>
      </c>
      <c r="J1042" s="1">
        <v>2.5</v>
      </c>
      <c r="M1042" s="4">
        <v>1434</v>
      </c>
      <c r="N1042" s="1">
        <v>4585</v>
      </c>
      <c r="O1042" s="1">
        <v>4585</v>
      </c>
      <c r="Q1042" s="1" t="s">
        <v>836</v>
      </c>
      <c r="S1042" s="1" t="s">
        <v>836</v>
      </c>
      <c r="T1042" s="1" t="s">
        <v>153</v>
      </c>
      <c r="V1042" s="5">
        <v>41640</v>
      </c>
      <c r="Y1042" s="1">
        <v>4950000</v>
      </c>
      <c r="Z1042" s="5">
        <v>42105</v>
      </c>
      <c r="AA1042" s="1">
        <v>4585375</v>
      </c>
      <c r="AB1042" s="1" t="s">
        <v>874</v>
      </c>
      <c r="AC1042" s="5">
        <v>42066</v>
      </c>
      <c r="AF1042" s="1">
        <v>10065</v>
      </c>
      <c r="AI1042" s="1" t="s">
        <v>163</v>
      </c>
      <c r="AJ1042" s="1">
        <v>1951</v>
      </c>
      <c r="AK1042" s="1" t="s">
        <v>99</v>
      </c>
      <c r="AL1042" s="1">
        <v>68</v>
      </c>
    </row>
    <row r="1043" spans="1:38" x14ac:dyDescent="0.2">
      <c r="A1043" s="2" t="str">
        <f>HYPERLINK("https://www.compass.com/listing/21-east-61st-street-unit-11d-manhattan-ny-10065/29410718352695057/","21 E 61st St, Unit 11D")</f>
        <v>21 E 61st St, Unit 11D</v>
      </c>
      <c r="B1043" s="2" t="str">
        <f t="shared" si="151"/>
        <v>The Carlton House</v>
      </c>
      <c r="C1043" s="1" t="s">
        <v>98</v>
      </c>
      <c r="D1043" s="1" t="s">
        <v>41</v>
      </c>
      <c r="E1043" s="3">
        <v>5043588</v>
      </c>
      <c r="F1043" s="1">
        <v>3531.9240196078399</v>
      </c>
      <c r="G1043" s="1">
        <v>4</v>
      </c>
      <c r="H1043" s="1">
        <v>2</v>
      </c>
      <c r="I1043" s="1">
        <v>3</v>
      </c>
      <c r="J1043" s="1">
        <v>2.5</v>
      </c>
      <c r="M1043" s="4">
        <v>1428</v>
      </c>
      <c r="N1043" s="1">
        <v>4585</v>
      </c>
      <c r="O1043" s="1">
        <v>4585</v>
      </c>
      <c r="Q1043" s="1" t="s">
        <v>836</v>
      </c>
      <c r="S1043" s="1" t="s">
        <v>836</v>
      </c>
      <c r="T1043" s="1" t="s">
        <v>153</v>
      </c>
      <c r="V1043" s="5">
        <v>41640</v>
      </c>
      <c r="Y1043" s="1">
        <v>4950000</v>
      </c>
      <c r="Z1043" s="5">
        <v>42105</v>
      </c>
      <c r="AA1043" s="1">
        <v>5043587.5</v>
      </c>
      <c r="AB1043" s="1" t="s">
        <v>875</v>
      </c>
      <c r="AC1043" s="5">
        <v>42054</v>
      </c>
      <c r="AF1043" s="1">
        <v>10065</v>
      </c>
      <c r="AJ1043" s="1">
        <v>1951</v>
      </c>
      <c r="AK1043" s="1" t="s">
        <v>99</v>
      </c>
      <c r="AL1043" s="1">
        <v>68</v>
      </c>
    </row>
    <row r="1044" spans="1:38" x14ac:dyDescent="0.2">
      <c r="A1044" s="2" t="str">
        <f>HYPERLINK("https://www.compass.com/listing/21-east-61st-street-unit-3f-manhattan-ny-10065/167849150409473313/","21 E 61st St, Unit 3F")</f>
        <v>21 E 61st St, Unit 3F</v>
      </c>
      <c r="B1044" s="2" t="str">
        <f t="shared" si="151"/>
        <v>The Carlton House</v>
      </c>
      <c r="C1044" s="1" t="s">
        <v>98</v>
      </c>
      <c r="D1044" s="1" t="s">
        <v>41</v>
      </c>
      <c r="E1044" s="3">
        <v>7829900</v>
      </c>
      <c r="F1044" s="1">
        <v>3289.87394957983</v>
      </c>
      <c r="G1044" s="1">
        <v>6.5</v>
      </c>
      <c r="H1044" s="1">
        <v>3</v>
      </c>
      <c r="I1044" s="1">
        <v>4</v>
      </c>
      <c r="J1044" s="1">
        <v>3.5</v>
      </c>
      <c r="M1044" s="4">
        <v>2380</v>
      </c>
      <c r="N1044" s="1">
        <v>7478</v>
      </c>
      <c r="O1044" s="1">
        <v>7478</v>
      </c>
      <c r="Q1044" s="1" t="s">
        <v>836</v>
      </c>
      <c r="S1044" s="1" t="s">
        <v>836</v>
      </c>
      <c r="T1044" s="1" t="s">
        <v>153</v>
      </c>
      <c r="V1044" s="5">
        <v>41640</v>
      </c>
      <c r="Y1044" s="1">
        <v>7600000</v>
      </c>
      <c r="Z1044" s="5">
        <v>42105</v>
      </c>
      <c r="AA1044" s="1">
        <v>7829900</v>
      </c>
      <c r="AB1044" s="1" t="s">
        <v>876</v>
      </c>
      <c r="AC1044" s="5">
        <v>42180</v>
      </c>
      <c r="AF1044" s="1">
        <v>10065</v>
      </c>
      <c r="AI1044" s="1" t="s">
        <v>163</v>
      </c>
      <c r="AJ1044" s="1">
        <v>1951</v>
      </c>
      <c r="AK1044" s="1" t="s">
        <v>99</v>
      </c>
      <c r="AL1044" s="1">
        <v>68</v>
      </c>
    </row>
    <row r="1045" spans="1:38" x14ac:dyDescent="0.2">
      <c r="A1045" s="2" t="str">
        <f>HYPERLINK("https://www.compass.com/listing/21-east-61st-street-unit-9b-manhattan-ny-10065/278794774494916289/","21 E 61st St, Unit 9B")</f>
        <v>21 E 61st St, Unit 9B</v>
      </c>
      <c r="B1045" s="2" t="str">
        <f t="shared" si="151"/>
        <v>The Carlton House</v>
      </c>
      <c r="C1045" s="1" t="s">
        <v>98</v>
      </c>
      <c r="D1045" s="1" t="s">
        <v>41</v>
      </c>
      <c r="E1045" s="3">
        <v>8963850</v>
      </c>
      <c r="F1045" s="1">
        <v>3780.6199915647398</v>
      </c>
      <c r="G1045" s="1">
        <v>6</v>
      </c>
      <c r="H1045" s="1">
        <v>3</v>
      </c>
      <c r="I1045" s="1">
        <v>4</v>
      </c>
      <c r="J1045" s="1">
        <v>3.5</v>
      </c>
      <c r="M1045" s="4">
        <v>2371</v>
      </c>
      <c r="N1045" s="1">
        <v>7478</v>
      </c>
      <c r="O1045" s="1">
        <v>7478</v>
      </c>
      <c r="Q1045" s="1" t="s">
        <v>836</v>
      </c>
      <c r="S1045" s="1" t="s">
        <v>836</v>
      </c>
      <c r="T1045" s="1" t="s">
        <v>153</v>
      </c>
      <c r="U1045" s="1">
        <v>214</v>
      </c>
      <c r="V1045" s="5">
        <v>41640</v>
      </c>
      <c r="W1045" s="5">
        <v>41767</v>
      </c>
      <c r="X1045" s="1">
        <v>8800000</v>
      </c>
      <c r="Y1045" s="1">
        <v>8800000</v>
      </c>
      <c r="Z1045" s="5">
        <v>42105</v>
      </c>
      <c r="AA1045" s="1">
        <v>8963850</v>
      </c>
      <c r="AB1045" s="1" t="s">
        <v>877</v>
      </c>
      <c r="AC1045" s="5">
        <v>42130</v>
      </c>
      <c r="AF1045" s="1">
        <v>10065</v>
      </c>
      <c r="AI1045" s="1" t="s">
        <v>163</v>
      </c>
      <c r="AJ1045" s="1">
        <v>1951</v>
      </c>
      <c r="AK1045" s="1" t="s">
        <v>99</v>
      </c>
      <c r="AL1045" s="1">
        <v>68</v>
      </c>
    </row>
    <row r="1046" spans="1:38" x14ac:dyDescent="0.2">
      <c r="A1046" s="2" t="str">
        <f>HYPERLINK("https://www.compass.com/listing/21-east-61st-street-unit-9a-manhattan-ny-10065/29410705828586865/","21 E 61st St, Unit 9A")</f>
        <v>21 E 61st St, Unit 9A</v>
      </c>
      <c r="B1046" s="2" t="str">
        <f t="shared" si="151"/>
        <v>The Carlton House</v>
      </c>
      <c r="C1046" s="1" t="s">
        <v>98</v>
      </c>
      <c r="D1046" s="1" t="s">
        <v>41</v>
      </c>
      <c r="E1046" s="3">
        <v>8303250</v>
      </c>
      <c r="F1046" s="1">
        <v>3398.7924682767002</v>
      </c>
      <c r="G1046" s="1">
        <v>6.5</v>
      </c>
      <c r="H1046" s="1">
        <v>3</v>
      </c>
      <c r="I1046" s="1">
        <v>4</v>
      </c>
      <c r="J1046" s="1">
        <v>3.5</v>
      </c>
      <c r="M1046" s="4">
        <v>2443</v>
      </c>
      <c r="N1046" s="1">
        <v>7751</v>
      </c>
      <c r="O1046" s="1">
        <v>7751</v>
      </c>
      <c r="Q1046" s="1" t="s">
        <v>836</v>
      </c>
      <c r="S1046" s="1" t="s">
        <v>836</v>
      </c>
      <c r="T1046" s="1" t="s">
        <v>153</v>
      </c>
      <c r="U1046" s="1">
        <v>666</v>
      </c>
      <c r="V1046" s="5">
        <v>41640</v>
      </c>
      <c r="W1046" s="5">
        <v>41780</v>
      </c>
      <c r="X1046" s="1">
        <v>8800000</v>
      </c>
      <c r="Y1046" s="1">
        <v>8800000</v>
      </c>
      <c r="AA1046" s="1">
        <v>8303250</v>
      </c>
      <c r="AB1046" s="1" t="s">
        <v>878</v>
      </c>
      <c r="AC1046" s="5">
        <v>42447</v>
      </c>
      <c r="AF1046" s="1">
        <v>10065</v>
      </c>
      <c r="AJ1046" s="1">
        <v>1951</v>
      </c>
      <c r="AK1046" s="1" t="s">
        <v>99</v>
      </c>
      <c r="AL1046" s="1">
        <v>68</v>
      </c>
    </row>
    <row r="1047" spans="1:38" x14ac:dyDescent="0.2">
      <c r="A1047" s="2" t="str">
        <f>HYPERLINK("https://www.compass.com/listing/21-east-61st-street-unit-7b-manhattan-ny-10065/29410710484184465/","21 E 61st St, Unit 7B")</f>
        <v>21 E 61st St, Unit 7B</v>
      </c>
      <c r="B1047" s="2" t="str">
        <f t="shared" si="151"/>
        <v>The Carlton House</v>
      </c>
      <c r="C1047" s="1" t="s">
        <v>98</v>
      </c>
      <c r="D1047" s="1" t="s">
        <v>41</v>
      </c>
      <c r="E1047" s="3">
        <v>8760200</v>
      </c>
      <c r="F1047" s="1">
        <v>3694.7279628848501</v>
      </c>
      <c r="G1047" s="1">
        <v>6.5</v>
      </c>
      <c r="H1047" s="1">
        <v>3</v>
      </c>
      <c r="I1047" s="1">
        <v>4</v>
      </c>
      <c r="J1047" s="1">
        <v>3.5</v>
      </c>
      <c r="M1047" s="4">
        <v>2371</v>
      </c>
      <c r="N1047" s="1">
        <v>7369</v>
      </c>
      <c r="O1047" s="1">
        <v>7369</v>
      </c>
      <c r="Q1047" s="1" t="s">
        <v>836</v>
      </c>
      <c r="S1047" s="1" t="s">
        <v>836</v>
      </c>
      <c r="T1047" s="1" t="s">
        <v>153</v>
      </c>
      <c r="U1047" s="1">
        <v>439</v>
      </c>
      <c r="V1047" s="5">
        <v>41640</v>
      </c>
      <c r="W1047" s="5">
        <v>41662</v>
      </c>
      <c r="X1047" s="1">
        <v>8600000</v>
      </c>
      <c r="Y1047" s="1">
        <v>8600000</v>
      </c>
      <c r="Z1047" s="5">
        <v>42105</v>
      </c>
      <c r="AA1047" s="1">
        <v>8760200</v>
      </c>
      <c r="AB1047" s="1" t="s">
        <v>879</v>
      </c>
      <c r="AC1047" s="5">
        <v>42178</v>
      </c>
      <c r="AF1047" s="1">
        <v>10065</v>
      </c>
      <c r="AJ1047" s="1">
        <v>1951</v>
      </c>
      <c r="AK1047" s="1" t="s">
        <v>99</v>
      </c>
      <c r="AL1047" s="1">
        <v>68</v>
      </c>
    </row>
    <row r="1048" spans="1:38" x14ac:dyDescent="0.2">
      <c r="A1048" s="2" t="str">
        <f>HYPERLINK("https://www.compass.com/listing/21-east-61st-street-unit-10b-manhattan-ny-10065/29410721104162433/","21 E 61st St, Unit 10B")</f>
        <v>21 E 61st St, Unit 10B</v>
      </c>
      <c r="B1048" s="2" t="str">
        <f t="shared" si="151"/>
        <v>The Carlton House</v>
      </c>
      <c r="C1048" s="1" t="s">
        <v>98</v>
      </c>
      <c r="D1048" s="1" t="s">
        <v>41</v>
      </c>
      <c r="E1048" s="3">
        <v>9167500</v>
      </c>
      <c r="F1048" s="1">
        <v>3927.8063410454101</v>
      </c>
      <c r="G1048" s="1">
        <v>6.5</v>
      </c>
      <c r="H1048" s="1">
        <v>3</v>
      </c>
      <c r="I1048" s="1">
        <v>4</v>
      </c>
      <c r="J1048" s="1">
        <v>3.5</v>
      </c>
      <c r="M1048" s="4">
        <v>2334</v>
      </c>
      <c r="N1048" s="1">
        <v>7587</v>
      </c>
      <c r="O1048" s="1">
        <v>7587</v>
      </c>
      <c r="Q1048" s="1" t="s">
        <v>836</v>
      </c>
      <c r="S1048" s="1" t="s">
        <v>836</v>
      </c>
      <c r="T1048" s="1" t="s">
        <v>153</v>
      </c>
      <c r="U1048" s="1">
        <v>319</v>
      </c>
      <c r="V1048" s="5">
        <v>41640</v>
      </c>
      <c r="W1048" s="5">
        <v>41662</v>
      </c>
      <c r="X1048" s="1">
        <v>9000000</v>
      </c>
      <c r="Y1048" s="1">
        <v>9000000</v>
      </c>
      <c r="Z1048" s="5">
        <v>42105</v>
      </c>
      <c r="AA1048" s="1">
        <v>9167500</v>
      </c>
      <c r="AB1048" s="1" t="s">
        <v>880</v>
      </c>
      <c r="AC1048" s="5">
        <v>42151</v>
      </c>
      <c r="AF1048" s="1">
        <v>10065</v>
      </c>
      <c r="AJ1048" s="1">
        <v>1951</v>
      </c>
      <c r="AK1048" s="1" t="s">
        <v>99</v>
      </c>
      <c r="AL1048" s="1">
        <v>68</v>
      </c>
    </row>
    <row r="1049" spans="1:38" x14ac:dyDescent="0.2">
      <c r="A1049" s="2" t="str">
        <f>HYPERLINK("https://www.compass.com/listing/21-east-61st-street-unit-10a-manhattan-ny-10065/29410722068852369/","21 E 61st St, Unit 10A")</f>
        <v>21 E 61st St, Unit 10A</v>
      </c>
      <c r="B1049" s="2" t="str">
        <f t="shared" si="151"/>
        <v>The Carlton House</v>
      </c>
      <c r="C1049" s="1" t="s">
        <v>98</v>
      </c>
      <c r="D1049" s="1" t="s">
        <v>41</v>
      </c>
      <c r="E1049" s="3">
        <v>9167500</v>
      </c>
      <c r="F1049" s="1">
        <v>3769.53125</v>
      </c>
      <c r="G1049" s="1">
        <v>6.5</v>
      </c>
      <c r="H1049" s="1">
        <v>3</v>
      </c>
      <c r="I1049" s="1">
        <v>4</v>
      </c>
      <c r="J1049" s="1">
        <v>3.5</v>
      </c>
      <c r="M1049" s="4">
        <v>2432</v>
      </c>
      <c r="N1049" s="1">
        <v>7805</v>
      </c>
      <c r="O1049" s="1">
        <v>7805</v>
      </c>
      <c r="Q1049" s="1" t="s">
        <v>836</v>
      </c>
      <c r="S1049" s="1" t="s">
        <v>836</v>
      </c>
      <c r="T1049" s="1" t="s">
        <v>153</v>
      </c>
      <c r="U1049" s="1">
        <v>201</v>
      </c>
      <c r="V1049" s="5">
        <v>41640</v>
      </c>
      <c r="W1049" s="5">
        <v>41767</v>
      </c>
      <c r="X1049" s="1">
        <v>9000000</v>
      </c>
      <c r="Y1049" s="1">
        <v>9000000</v>
      </c>
      <c r="Z1049" s="5">
        <v>42105</v>
      </c>
      <c r="AA1049" s="1">
        <v>9167500</v>
      </c>
      <c r="AB1049" s="1" t="s">
        <v>881</v>
      </c>
      <c r="AC1049" s="5">
        <v>42185</v>
      </c>
      <c r="AF1049" s="1">
        <v>10065</v>
      </c>
      <c r="AI1049" s="1" t="s">
        <v>163</v>
      </c>
      <c r="AJ1049" s="1">
        <v>1951</v>
      </c>
      <c r="AK1049" s="1" t="s">
        <v>99</v>
      </c>
      <c r="AL1049" s="1">
        <v>68</v>
      </c>
    </row>
    <row r="1050" spans="1:38" x14ac:dyDescent="0.2">
      <c r="A1050" s="2" t="str">
        <f>HYPERLINK("https://www.compass.com/listing/21-east-61st-street-unit-8e-manhattan-ny-10065/29508844036057489/","21 E 61st St, Unit 8E")</f>
        <v>21 E 61st St, Unit 8E</v>
      </c>
      <c r="B1050" s="2" t="str">
        <f t="shared" si="151"/>
        <v>The Carlton House</v>
      </c>
      <c r="C1050" s="1" t="s">
        <v>98</v>
      </c>
      <c r="D1050" s="1" t="s">
        <v>41</v>
      </c>
      <c r="E1050" s="3">
        <v>8203250</v>
      </c>
      <c r="F1050" s="1">
        <v>3272.1380135620202</v>
      </c>
      <c r="G1050" s="1">
        <v>6.5</v>
      </c>
      <c r="H1050" s="1">
        <v>3</v>
      </c>
      <c r="I1050" s="1">
        <v>4</v>
      </c>
      <c r="J1050" s="1">
        <v>3.5</v>
      </c>
      <c r="M1050" s="4">
        <v>2507</v>
      </c>
      <c r="N1050" s="1">
        <v>7805</v>
      </c>
      <c r="O1050" s="1">
        <v>7805</v>
      </c>
      <c r="Q1050" s="1" t="s">
        <v>836</v>
      </c>
      <c r="S1050" s="1" t="s">
        <v>836</v>
      </c>
      <c r="T1050" s="1" t="s">
        <v>153</v>
      </c>
      <c r="U1050" s="1">
        <v>147</v>
      </c>
      <c r="V1050" s="5">
        <v>43654</v>
      </c>
      <c r="W1050" s="5">
        <v>42229</v>
      </c>
      <c r="X1050" s="1">
        <v>8800000</v>
      </c>
      <c r="Y1050" s="1">
        <v>8800000</v>
      </c>
      <c r="AA1050" s="1">
        <v>8203250</v>
      </c>
      <c r="AB1050" s="1" t="s">
        <v>882</v>
      </c>
      <c r="AC1050" s="5">
        <v>42376</v>
      </c>
      <c r="AF1050" s="1">
        <v>10065</v>
      </c>
      <c r="AJ1050" s="1">
        <v>1951</v>
      </c>
      <c r="AK1050" s="1" t="s">
        <v>46</v>
      </c>
      <c r="AL1050" s="1">
        <v>68</v>
      </c>
    </row>
    <row r="1051" spans="1:38" x14ac:dyDescent="0.2">
      <c r="A1051" s="2" t="str">
        <f>HYPERLINK("https://www.compass.com/listing/21-east-61st-street-unit-9e-manhattan-ny-10065/36655475495926641/","21 E 61st St, Unit 9E")</f>
        <v>21 E 61st St, Unit 9E</v>
      </c>
      <c r="B1051" s="2" t="str">
        <f t="shared" si="151"/>
        <v>The Carlton House</v>
      </c>
      <c r="C1051" s="1" t="s">
        <v>98</v>
      </c>
      <c r="D1051" s="1" t="s">
        <v>41</v>
      </c>
      <c r="E1051" s="3">
        <v>8556550</v>
      </c>
      <c r="F1051" s="1">
        <v>3413.06342241723</v>
      </c>
      <c r="G1051" s="1">
        <v>6.5</v>
      </c>
      <c r="H1051" s="1">
        <v>3</v>
      </c>
      <c r="I1051" s="1">
        <v>4</v>
      </c>
      <c r="J1051" s="1">
        <v>3.5</v>
      </c>
      <c r="M1051" s="4">
        <v>2507</v>
      </c>
      <c r="N1051" s="1">
        <v>7805</v>
      </c>
      <c r="O1051" s="1">
        <v>7805</v>
      </c>
      <c r="Q1051" s="1" t="s">
        <v>836</v>
      </c>
      <c r="S1051" s="1" t="s">
        <v>836</v>
      </c>
      <c r="T1051" s="1" t="s">
        <v>153</v>
      </c>
      <c r="U1051" s="1">
        <v>259</v>
      </c>
      <c r="V1051" s="5">
        <v>43654</v>
      </c>
      <c r="W1051" s="5">
        <v>42052</v>
      </c>
      <c r="X1051" s="1">
        <v>8900000</v>
      </c>
      <c r="Y1051" s="1">
        <v>8900000</v>
      </c>
      <c r="Z1051" s="5">
        <v>42311</v>
      </c>
      <c r="AA1051" s="1">
        <v>8556550</v>
      </c>
      <c r="AB1051" s="1" t="s">
        <v>883</v>
      </c>
      <c r="AC1051" s="5">
        <v>42325</v>
      </c>
      <c r="AF1051" s="1">
        <v>10065</v>
      </c>
      <c r="AI1051" s="1" t="s">
        <v>163</v>
      </c>
      <c r="AJ1051" s="1">
        <v>1951</v>
      </c>
      <c r="AK1051" s="1" t="s">
        <v>46</v>
      </c>
      <c r="AL1051" s="1">
        <v>68</v>
      </c>
    </row>
    <row r="1052" spans="1:38" x14ac:dyDescent="0.2">
      <c r="A1052" s="2" t="str">
        <f>HYPERLINK("https://www.compass.com/listing/21-east-61st-street-unit-4c-manhattan-ny-10065/29410727026599793/","21 E 61st St, Unit 4C")</f>
        <v>21 E 61st St, Unit 4C</v>
      </c>
      <c r="B1052" s="2" t="str">
        <f t="shared" si="151"/>
        <v>The Carlton House</v>
      </c>
      <c r="C1052" s="1" t="s">
        <v>98</v>
      </c>
      <c r="D1052" s="1" t="s">
        <v>41</v>
      </c>
      <c r="E1052" s="3">
        <v>5165000</v>
      </c>
      <c r="F1052" s="1">
        <v>3601.8131101813101</v>
      </c>
      <c r="G1052" s="1">
        <v>4</v>
      </c>
      <c r="H1052" s="1">
        <v>2</v>
      </c>
      <c r="I1052" s="1">
        <v>2</v>
      </c>
      <c r="J1052" s="1">
        <v>2</v>
      </c>
      <c r="K1052" s="1">
        <v>2</v>
      </c>
      <c r="M1052" s="4">
        <v>1434</v>
      </c>
      <c r="N1052" s="1">
        <v>4500</v>
      </c>
      <c r="O1052" s="1">
        <v>4500</v>
      </c>
      <c r="Q1052" s="1" t="s">
        <v>836</v>
      </c>
      <c r="S1052" s="1" t="s">
        <v>836</v>
      </c>
      <c r="T1052" s="1" t="s">
        <v>153</v>
      </c>
      <c r="U1052" s="1">
        <v>76</v>
      </c>
      <c r="V1052" s="5">
        <v>43654</v>
      </c>
      <c r="W1052" s="5">
        <v>42221</v>
      </c>
      <c r="X1052" s="1">
        <v>5395000</v>
      </c>
      <c r="Y1052" s="1">
        <v>5395000</v>
      </c>
      <c r="Z1052" s="5">
        <v>42297</v>
      </c>
      <c r="AA1052" s="1">
        <v>5165000</v>
      </c>
      <c r="AB1052" s="1" t="s">
        <v>884</v>
      </c>
      <c r="AC1052" s="5">
        <v>42332</v>
      </c>
      <c r="AF1052" s="1">
        <v>10065</v>
      </c>
      <c r="AJ1052" s="1">
        <v>1951</v>
      </c>
      <c r="AK1052" s="1" t="s">
        <v>46</v>
      </c>
      <c r="AL1052" s="1">
        <v>68</v>
      </c>
    </row>
    <row r="1053" spans="1:38" x14ac:dyDescent="0.2">
      <c r="A1053" s="2" t="str">
        <f>HYPERLINK("https://www.compass.com/listing/21-east-61st-street-unit-7d-manhattan-ny-10065/206988638301457681/","21 E 61st St, Unit 7D")</f>
        <v>21 E 61st St, Unit 7D</v>
      </c>
      <c r="B1053" s="2" t="str">
        <f t="shared" si="151"/>
        <v>The Carlton House</v>
      </c>
      <c r="C1053" s="1" t="s">
        <v>98</v>
      </c>
      <c r="D1053" s="1" t="s">
        <v>41</v>
      </c>
      <c r="E1053" s="3">
        <v>4250000</v>
      </c>
      <c r="F1053" s="1">
        <v>2976.1904761904698</v>
      </c>
      <c r="G1053" s="1">
        <v>4.5</v>
      </c>
      <c r="H1053" s="1">
        <v>2</v>
      </c>
      <c r="I1053" s="1">
        <v>3</v>
      </c>
      <c r="J1053" s="1">
        <v>2.5</v>
      </c>
      <c r="M1053" s="4">
        <v>1428</v>
      </c>
      <c r="N1053" s="1">
        <v>4500</v>
      </c>
      <c r="O1053" s="1">
        <v>4500</v>
      </c>
      <c r="Q1053" s="1" t="s">
        <v>836</v>
      </c>
      <c r="S1053" s="1" t="s">
        <v>836</v>
      </c>
      <c r="T1053" s="1" t="s">
        <v>153</v>
      </c>
      <c r="U1053" s="1">
        <v>55</v>
      </c>
      <c r="V1053" s="5">
        <v>43673</v>
      </c>
      <c r="W1053" s="5">
        <v>42623</v>
      </c>
      <c r="X1053" s="1">
        <v>4450000</v>
      </c>
      <c r="Y1053" s="1">
        <v>4450000</v>
      </c>
      <c r="Z1053" s="5">
        <v>42678</v>
      </c>
      <c r="AA1053" s="1">
        <v>4250000</v>
      </c>
      <c r="AB1053" s="1" t="s">
        <v>885</v>
      </c>
      <c r="AC1053" s="5">
        <v>42719</v>
      </c>
      <c r="AF1053" s="1">
        <v>10065</v>
      </c>
      <c r="AI1053" s="1" t="s">
        <v>163</v>
      </c>
      <c r="AJ1053" s="1">
        <v>1951</v>
      </c>
      <c r="AK1053" s="1" t="s">
        <v>86</v>
      </c>
      <c r="AL1053" s="1">
        <v>68</v>
      </c>
    </row>
    <row r="1054" spans="1:38" x14ac:dyDescent="0.2">
      <c r="A1054" s="2" t="str">
        <f>HYPERLINK("https://www.compass.com/listing/21-east-61st-street-unit-3f-manhattan-ny-10065/29410734014230385/","21 E 61st St, Unit 3F")</f>
        <v>21 E 61st St, Unit 3F</v>
      </c>
      <c r="B1054" s="2" t="str">
        <f t="shared" si="151"/>
        <v>The Carlton House</v>
      </c>
      <c r="C1054" s="1" t="s">
        <v>98</v>
      </c>
      <c r="D1054" s="1" t="s">
        <v>41</v>
      </c>
      <c r="E1054" s="3">
        <v>7995000</v>
      </c>
      <c r="F1054" s="1">
        <v>3359.2436974789898</v>
      </c>
      <c r="G1054" s="1">
        <v>6.5</v>
      </c>
      <c r="H1054" s="1">
        <v>3</v>
      </c>
      <c r="I1054" s="1">
        <v>3</v>
      </c>
      <c r="J1054" s="1">
        <v>3</v>
      </c>
      <c r="K1054" s="1">
        <v>3</v>
      </c>
      <c r="M1054" s="4">
        <v>2380</v>
      </c>
      <c r="N1054" s="1">
        <v>7518</v>
      </c>
      <c r="O1054" s="1">
        <v>7518</v>
      </c>
      <c r="Q1054" s="1" t="s">
        <v>836</v>
      </c>
      <c r="S1054" s="1" t="s">
        <v>836</v>
      </c>
      <c r="T1054" s="1" t="s">
        <v>153</v>
      </c>
      <c r="U1054" s="1">
        <v>103</v>
      </c>
      <c r="V1054" s="5">
        <v>43678</v>
      </c>
      <c r="W1054" s="5">
        <v>42350</v>
      </c>
      <c r="X1054" s="1">
        <v>7995000</v>
      </c>
      <c r="Y1054" s="1">
        <v>7995000</v>
      </c>
      <c r="Z1054" s="5">
        <v>42453</v>
      </c>
      <c r="AA1054" s="1">
        <v>7995000</v>
      </c>
      <c r="AB1054" s="1" t="s">
        <v>886</v>
      </c>
      <c r="AC1054" s="5">
        <v>42506</v>
      </c>
      <c r="AF1054" s="1">
        <v>10065</v>
      </c>
      <c r="AI1054" s="1" t="s">
        <v>163</v>
      </c>
      <c r="AJ1054" s="1">
        <v>1951</v>
      </c>
      <c r="AK1054" s="1" t="s">
        <v>46</v>
      </c>
      <c r="AL1054" s="1">
        <v>68</v>
      </c>
    </row>
    <row r="1055" spans="1:38" x14ac:dyDescent="0.2">
      <c r="A1055" s="2" t="str">
        <f>HYPERLINK("https://www.compass.com/listing/21-east-61st-street-unit-9f-manhattan-ny-10065/29410713193784833/","21 E 61st St, Unit 9F")</f>
        <v>21 E 61st St, Unit 9F</v>
      </c>
      <c r="B1055" s="2" t="str">
        <f t="shared" si="151"/>
        <v>The Carlton House</v>
      </c>
      <c r="C1055" s="1" t="s">
        <v>98</v>
      </c>
      <c r="D1055" s="1" t="s">
        <v>41</v>
      </c>
      <c r="E1055" s="3">
        <v>8760200</v>
      </c>
      <c r="F1055" s="1">
        <v>3680.7563025210002</v>
      </c>
      <c r="G1055" s="1">
        <v>6.5</v>
      </c>
      <c r="H1055" s="1">
        <v>3</v>
      </c>
      <c r="I1055" s="1">
        <v>4</v>
      </c>
      <c r="J1055" s="1">
        <v>3.5</v>
      </c>
      <c r="M1055" s="4">
        <v>2380</v>
      </c>
      <c r="N1055" s="1">
        <v>7535</v>
      </c>
      <c r="O1055" s="1">
        <v>7535</v>
      </c>
      <c r="Q1055" s="1" t="s">
        <v>836</v>
      </c>
      <c r="S1055" s="1" t="s">
        <v>836</v>
      </c>
      <c r="T1055" s="1" t="s">
        <v>153</v>
      </c>
      <c r="U1055" s="1">
        <v>2</v>
      </c>
      <c r="V1055" s="5">
        <v>43654</v>
      </c>
      <c r="W1055" s="5">
        <v>41419</v>
      </c>
      <c r="X1055" s="1">
        <v>8600000</v>
      </c>
      <c r="Y1055" s="1">
        <v>8600000</v>
      </c>
      <c r="Z1055" s="5">
        <v>41657</v>
      </c>
      <c r="AA1055" s="1">
        <v>8760200</v>
      </c>
      <c r="AB1055" s="1" t="s">
        <v>887</v>
      </c>
      <c r="AC1055" s="5">
        <v>42055</v>
      </c>
      <c r="AF1055" s="1">
        <v>10065</v>
      </c>
      <c r="AI1055" s="1" t="s">
        <v>163</v>
      </c>
      <c r="AJ1055" s="1">
        <v>1951</v>
      </c>
      <c r="AK1055" s="1" t="s">
        <v>99</v>
      </c>
      <c r="AL1055" s="1">
        <v>68</v>
      </c>
    </row>
    <row r="1056" spans="1:38" x14ac:dyDescent="0.2">
      <c r="A1056" s="2" t="str">
        <f>HYPERLINK("https://www.compass.com/listing/21-east-61st-street-unit-4e-manhattan-ny-10065/121587179494436673/","21 E 61st St, Unit 4E")</f>
        <v>21 E 61st St, Unit 4E</v>
      </c>
      <c r="B1056" s="2" t="str">
        <f t="shared" si="151"/>
        <v>The Carlton House</v>
      </c>
      <c r="C1056" s="1" t="s">
        <v>98</v>
      </c>
      <c r="D1056" s="1" t="s">
        <v>41</v>
      </c>
      <c r="E1056" s="3">
        <v>10185750</v>
      </c>
      <c r="F1056" s="1">
        <v>2508.8054187192101</v>
      </c>
      <c r="G1056" s="1">
        <v>9</v>
      </c>
      <c r="H1056" s="1">
        <v>5</v>
      </c>
      <c r="I1056" s="1">
        <v>6</v>
      </c>
      <c r="J1056" s="1">
        <v>5.5</v>
      </c>
      <c r="K1056" s="1">
        <v>5</v>
      </c>
      <c r="L1056" s="1">
        <v>1</v>
      </c>
      <c r="M1056" s="4">
        <v>4060</v>
      </c>
      <c r="N1056" s="1">
        <v>12677</v>
      </c>
      <c r="O1056" s="1">
        <v>12677</v>
      </c>
      <c r="Q1056" s="1" t="s">
        <v>836</v>
      </c>
      <c r="S1056" s="1" t="s">
        <v>836</v>
      </c>
      <c r="T1056" s="1" t="s">
        <v>153</v>
      </c>
      <c r="U1056" s="1">
        <v>94</v>
      </c>
      <c r="V1056" s="5">
        <v>43668</v>
      </c>
      <c r="W1056" s="5">
        <v>43420</v>
      </c>
      <c r="X1056" s="1">
        <v>11950000</v>
      </c>
      <c r="Y1056" s="1">
        <v>11250000</v>
      </c>
      <c r="Z1056" s="5">
        <v>43515</v>
      </c>
      <c r="AA1056" s="1">
        <v>10185750</v>
      </c>
      <c r="AB1056" s="1" t="s">
        <v>888</v>
      </c>
      <c r="AC1056" s="5">
        <v>43552</v>
      </c>
      <c r="AF1056" s="1">
        <v>10065</v>
      </c>
      <c r="AI1056" s="1" t="s">
        <v>66</v>
      </c>
      <c r="AJ1056" s="1">
        <v>1951</v>
      </c>
      <c r="AK1056" s="1" t="s">
        <v>46</v>
      </c>
      <c r="AL1056" s="1">
        <v>68</v>
      </c>
    </row>
    <row r="1057" spans="1:38" x14ac:dyDescent="0.2">
      <c r="A1057" s="2" t="str">
        <f>HYPERLINK("https://www.compass.com/listing/21-east-61st-street-unit-14a-manhattan-ny-10065/220876615515713905/","21 E 61st St, Unit 14A")</f>
        <v>21 E 61st St, Unit 14A</v>
      </c>
      <c r="B1057" s="2" t="str">
        <f t="shared" si="151"/>
        <v>The Carlton House</v>
      </c>
      <c r="C1057" s="1" t="s">
        <v>98</v>
      </c>
      <c r="D1057" s="1" t="s">
        <v>41</v>
      </c>
      <c r="E1057" s="3">
        <v>12800000</v>
      </c>
      <c r="F1057" s="1">
        <v>2723.9838263460301</v>
      </c>
      <c r="G1057" s="1">
        <v>9</v>
      </c>
      <c r="H1057" s="1">
        <v>5</v>
      </c>
      <c r="I1057" s="1">
        <v>6</v>
      </c>
      <c r="J1057" s="1">
        <v>5.5</v>
      </c>
      <c r="K1057" s="1">
        <v>5</v>
      </c>
      <c r="L1057" s="1">
        <v>1</v>
      </c>
      <c r="M1057" s="4">
        <v>4699</v>
      </c>
      <c r="N1057" s="1">
        <v>18569</v>
      </c>
      <c r="O1057" s="1">
        <v>18569</v>
      </c>
      <c r="Q1057" s="1" t="s">
        <v>836</v>
      </c>
      <c r="S1057" s="1" t="s">
        <v>836</v>
      </c>
      <c r="T1057" s="1" t="s">
        <v>153</v>
      </c>
      <c r="U1057" s="1">
        <v>448</v>
      </c>
      <c r="V1057" s="5">
        <v>44327</v>
      </c>
      <c r="W1057" s="5">
        <v>43557</v>
      </c>
      <c r="X1057" s="1">
        <v>24900000</v>
      </c>
      <c r="Y1057" s="1">
        <v>15450000</v>
      </c>
      <c r="Z1057" s="5">
        <v>44127</v>
      </c>
      <c r="AA1057" s="1">
        <v>12800000</v>
      </c>
      <c r="AB1057" s="1" t="s">
        <v>889</v>
      </c>
      <c r="AC1057" s="5">
        <v>44193</v>
      </c>
      <c r="AF1057" s="1">
        <v>10065</v>
      </c>
      <c r="AI1057" s="1" t="s">
        <v>75</v>
      </c>
      <c r="AJ1057" s="1">
        <v>1951</v>
      </c>
      <c r="AK1057" s="1" t="s">
        <v>46</v>
      </c>
      <c r="AL1057" s="1">
        <v>68</v>
      </c>
    </row>
    <row r="1058" spans="1:38" x14ac:dyDescent="0.2">
      <c r="A1058" s="2" t="str">
        <f>HYPERLINK("https://www.compass.com/listing/21-east-61st-street-unit-15a-manhattan-ny-10065/29410717262259857/","21 E 61st St, Unit 15A")</f>
        <v>21 E 61st St, Unit 15A</v>
      </c>
      <c r="B1058" s="2" t="str">
        <f t="shared" si="151"/>
        <v>The Carlton House</v>
      </c>
      <c r="C1058" s="1" t="s">
        <v>98</v>
      </c>
      <c r="D1058" s="1" t="s">
        <v>41</v>
      </c>
      <c r="E1058" s="3">
        <v>17250000</v>
      </c>
      <c r="F1058" s="1">
        <v>3710.4753710475302</v>
      </c>
      <c r="G1058" s="1">
        <v>9.5</v>
      </c>
      <c r="H1058" s="1">
        <v>4</v>
      </c>
      <c r="I1058" s="1">
        <v>5</v>
      </c>
      <c r="J1058" s="1">
        <v>4.5</v>
      </c>
      <c r="M1058" s="4">
        <v>4649</v>
      </c>
      <c r="N1058" s="1">
        <v>14762</v>
      </c>
      <c r="O1058" s="1">
        <v>14762</v>
      </c>
      <c r="Q1058" s="1" t="s">
        <v>836</v>
      </c>
      <c r="S1058" s="1" t="s">
        <v>836</v>
      </c>
      <c r="T1058" s="1" t="s">
        <v>153</v>
      </c>
      <c r="U1058" s="1">
        <v>161</v>
      </c>
      <c r="V1058" s="5">
        <v>43468</v>
      </c>
      <c r="W1058" s="5">
        <v>42704</v>
      </c>
      <c r="X1058" s="1">
        <v>21500000</v>
      </c>
      <c r="Y1058" s="1">
        <v>19350000</v>
      </c>
      <c r="AA1058" s="1">
        <v>17250000</v>
      </c>
      <c r="AB1058" s="1" t="s">
        <v>890</v>
      </c>
      <c r="AC1058" s="5">
        <v>43010</v>
      </c>
      <c r="AF1058" s="1">
        <v>10065</v>
      </c>
      <c r="AJ1058" s="1">
        <v>1951</v>
      </c>
      <c r="AK1058" s="1" t="s">
        <v>46</v>
      </c>
      <c r="AL1058" s="1">
        <v>68</v>
      </c>
    </row>
    <row r="1059" spans="1:38" x14ac:dyDescent="0.2">
      <c r="A1059" s="2" t="str">
        <f>HYPERLINK("https://www.compass.com/listing/21-east-61st-street-unit-6b-manhattan-ny-10065/29410727580164049/","21 E 61st St, Unit 6B")</f>
        <v>21 E 61st St, Unit 6B</v>
      </c>
      <c r="B1059" s="2" t="str">
        <f t="shared" si="151"/>
        <v>The Carlton House</v>
      </c>
      <c r="C1059" s="1" t="s">
        <v>98</v>
      </c>
      <c r="D1059" s="1" t="s">
        <v>41</v>
      </c>
      <c r="E1059" s="3">
        <v>11051263</v>
      </c>
      <c r="F1059" s="1">
        <v>2946.2178085843698</v>
      </c>
      <c r="G1059" s="1">
        <v>8</v>
      </c>
      <c r="H1059" s="1">
        <v>4</v>
      </c>
      <c r="I1059" s="1">
        <v>5</v>
      </c>
      <c r="J1059" s="1">
        <v>4.5</v>
      </c>
      <c r="M1059" s="4">
        <v>3751</v>
      </c>
      <c r="N1059" s="1">
        <v>12018</v>
      </c>
      <c r="O1059" s="1">
        <v>12018</v>
      </c>
      <c r="Q1059" s="1" t="s">
        <v>836</v>
      </c>
      <c r="S1059" s="1" t="s">
        <v>836</v>
      </c>
      <c r="T1059" s="1" t="s">
        <v>153</v>
      </c>
      <c r="U1059" s="1">
        <v>157</v>
      </c>
      <c r="V1059" s="5">
        <v>43654</v>
      </c>
      <c r="W1059" s="5">
        <v>43015</v>
      </c>
      <c r="X1059" s="1">
        <v>12600000</v>
      </c>
      <c r="Y1059" s="1">
        <v>11500000</v>
      </c>
      <c r="Z1059" s="5">
        <v>43172</v>
      </c>
      <c r="AA1059" s="1">
        <v>11051263</v>
      </c>
      <c r="AB1059" s="1" t="s">
        <v>891</v>
      </c>
      <c r="AC1059" s="5">
        <v>43239</v>
      </c>
      <c r="AF1059" s="1">
        <v>10065</v>
      </c>
      <c r="AJ1059" s="1">
        <v>1951</v>
      </c>
      <c r="AK1059" s="1" t="s">
        <v>49</v>
      </c>
      <c r="AL1059" s="1">
        <v>68</v>
      </c>
    </row>
    <row r="1060" spans="1:38" x14ac:dyDescent="0.2">
      <c r="A1060" s="2" t="str">
        <f>HYPERLINK("https://www.compass.com/listing/21-east-61st-street-unit-6e-manhattan-ny-10065/44672625624068417/","21 E 61st St, Unit 6E")</f>
        <v>21 E 61st St, Unit 6E</v>
      </c>
      <c r="B1060" s="2" t="str">
        <f t="shared" si="151"/>
        <v>The Carlton House</v>
      </c>
      <c r="C1060" s="1" t="s">
        <v>98</v>
      </c>
      <c r="D1060" s="1" t="s">
        <v>41</v>
      </c>
      <c r="E1060" s="3">
        <v>10694875</v>
      </c>
      <c r="F1060" s="1">
        <v>2634.20566502463</v>
      </c>
      <c r="G1060" s="1">
        <v>9</v>
      </c>
      <c r="H1060" s="1">
        <v>5</v>
      </c>
      <c r="I1060" s="1">
        <v>6</v>
      </c>
      <c r="J1060" s="1">
        <v>5.5</v>
      </c>
      <c r="K1060" s="1">
        <v>5</v>
      </c>
      <c r="L1060" s="1">
        <v>1</v>
      </c>
      <c r="M1060" s="4">
        <v>4060</v>
      </c>
      <c r="N1060" s="1">
        <v>13006</v>
      </c>
      <c r="O1060" s="1">
        <v>13006</v>
      </c>
      <c r="Q1060" s="1" t="s">
        <v>836</v>
      </c>
      <c r="S1060" s="1" t="s">
        <v>836</v>
      </c>
      <c r="T1060" s="1" t="s">
        <v>153</v>
      </c>
      <c r="U1060" s="1">
        <v>281</v>
      </c>
      <c r="V1060" s="5">
        <v>43648</v>
      </c>
      <c r="W1060" s="5">
        <v>43314</v>
      </c>
      <c r="X1060" s="1">
        <v>12750000</v>
      </c>
      <c r="Y1060" s="1">
        <v>11750000</v>
      </c>
      <c r="AA1060" s="1">
        <v>10694875</v>
      </c>
      <c r="AB1060" s="1" t="s">
        <v>892</v>
      </c>
      <c r="AC1060" s="5">
        <v>43595</v>
      </c>
      <c r="AF1060" s="1">
        <v>10065</v>
      </c>
      <c r="AJ1060" s="1">
        <v>1951</v>
      </c>
      <c r="AK1060" s="1" t="s">
        <v>46</v>
      </c>
      <c r="AL1060" s="1">
        <v>68</v>
      </c>
    </row>
    <row r="1061" spans="1:38" x14ac:dyDescent="0.2">
      <c r="A1061" s="2" t="str">
        <f>HYPERLINK("https://www.compass.com/listing/21-east-61st-street-unit-4e-manhattan-ny-10065/803337986414517713/","21 E 61st St, Unit 4E")</f>
        <v>21 E 61st St, Unit 4E</v>
      </c>
      <c r="B1061" s="2" t="str">
        <f t="shared" si="151"/>
        <v>The Carlton House</v>
      </c>
      <c r="C1061" s="1" t="s">
        <v>98</v>
      </c>
      <c r="D1061" s="1" t="s">
        <v>41</v>
      </c>
      <c r="E1061" s="3">
        <v>10185750</v>
      </c>
      <c r="F1061" s="1">
        <v>2508.8054187192101</v>
      </c>
      <c r="G1061" s="1">
        <v>9</v>
      </c>
      <c r="H1061" s="1">
        <v>5</v>
      </c>
      <c r="I1061" s="1">
        <v>6</v>
      </c>
      <c r="J1061" s="1">
        <v>5.5</v>
      </c>
      <c r="K1061" s="1">
        <v>5</v>
      </c>
      <c r="L1061" s="1">
        <v>1</v>
      </c>
      <c r="M1061" s="4">
        <v>4060</v>
      </c>
      <c r="N1061" s="1">
        <v>12677</v>
      </c>
      <c r="O1061" s="1">
        <v>12677</v>
      </c>
      <c r="Q1061" s="1" t="s">
        <v>836</v>
      </c>
      <c r="S1061" s="1" t="s">
        <v>836</v>
      </c>
      <c r="T1061" s="1" t="s">
        <v>153</v>
      </c>
      <c r="U1061" s="1">
        <v>93</v>
      </c>
      <c r="V1061" s="5">
        <v>43557</v>
      </c>
      <c r="W1061" s="5">
        <v>43419</v>
      </c>
      <c r="X1061" s="1">
        <v>11950000</v>
      </c>
      <c r="Y1061" s="1">
        <v>11250000</v>
      </c>
      <c r="Z1061" s="5">
        <v>43520</v>
      </c>
      <c r="AA1061" s="1">
        <v>10185750</v>
      </c>
      <c r="AB1061" s="1" t="s">
        <v>888</v>
      </c>
      <c r="AC1061" s="5">
        <v>43552</v>
      </c>
      <c r="AF1061" s="1">
        <v>10065</v>
      </c>
      <c r="AJ1061" s="1">
        <v>1951</v>
      </c>
      <c r="AK1061" s="1" t="s">
        <v>46</v>
      </c>
      <c r="AL1061" s="1">
        <v>68</v>
      </c>
    </row>
    <row r="1062" spans="1:38" x14ac:dyDescent="0.2">
      <c r="A1062" s="2" t="str">
        <f>HYPERLINK("https://www.compass.com/listing/21-east-61st-street-unit-15a-manhattan-ny-10065/803380006604297033/","21 E 61st St, Unit 15A")</f>
        <v>21 E 61st St, Unit 15A</v>
      </c>
      <c r="B1062" s="2" t="str">
        <f t="shared" si="151"/>
        <v>The Carlton House</v>
      </c>
      <c r="C1062" s="1" t="s">
        <v>98</v>
      </c>
      <c r="D1062" s="1" t="s">
        <v>41</v>
      </c>
      <c r="E1062" s="3">
        <v>17250000</v>
      </c>
      <c r="F1062" s="1">
        <v>3710.4753710475302</v>
      </c>
      <c r="G1062" s="1">
        <v>9</v>
      </c>
      <c r="H1062" s="1">
        <v>4</v>
      </c>
      <c r="I1062" s="1">
        <v>6</v>
      </c>
      <c r="J1062" s="1">
        <v>5.5</v>
      </c>
      <c r="M1062" s="4">
        <v>4649</v>
      </c>
      <c r="N1062" s="1">
        <v>14762</v>
      </c>
      <c r="O1062" s="1">
        <v>14762</v>
      </c>
      <c r="Q1062" s="1" t="s">
        <v>836</v>
      </c>
      <c r="S1062" s="1" t="s">
        <v>836</v>
      </c>
      <c r="T1062" s="1" t="s">
        <v>153</v>
      </c>
      <c r="U1062" s="1">
        <v>69</v>
      </c>
      <c r="V1062" s="5">
        <v>43012</v>
      </c>
      <c r="W1062" s="5">
        <v>42941</v>
      </c>
      <c r="X1062" s="1">
        <v>19350000</v>
      </c>
      <c r="Y1062" s="1">
        <v>19350000</v>
      </c>
      <c r="Z1062" s="5">
        <v>43011</v>
      </c>
      <c r="AA1062" s="1">
        <v>17250000</v>
      </c>
      <c r="AB1062" s="1" t="s">
        <v>890</v>
      </c>
      <c r="AC1062" s="5">
        <v>43010</v>
      </c>
      <c r="AF1062" s="1">
        <v>10065</v>
      </c>
      <c r="AI1062" s="1" t="s">
        <v>893</v>
      </c>
      <c r="AJ1062" s="1">
        <v>1951</v>
      </c>
      <c r="AK1062" s="1" t="s">
        <v>49</v>
      </c>
      <c r="AL1062" s="1">
        <v>68</v>
      </c>
    </row>
    <row r="1063" spans="1:38" x14ac:dyDescent="0.2">
      <c r="A1063" s="2" t="str">
        <f>HYPERLINK("https://www.compass.com/listing/21-east-61st-street-unit-7d-manhattan-ny-10065/213488951145554449/","21 E 61st St, Unit 7D")</f>
        <v>21 E 61st St, Unit 7D</v>
      </c>
      <c r="B1063" s="2" t="str">
        <f t="shared" si="151"/>
        <v>The Carlton House</v>
      </c>
      <c r="C1063" s="1" t="s">
        <v>98</v>
      </c>
      <c r="D1063" s="1" t="s">
        <v>41</v>
      </c>
      <c r="E1063" s="3">
        <v>4771206</v>
      </c>
      <c r="F1063" s="1">
        <v>3341.1806722688998</v>
      </c>
      <c r="G1063" s="1">
        <v>5.5</v>
      </c>
      <c r="H1063" s="1">
        <v>2</v>
      </c>
      <c r="I1063" s="1">
        <v>3</v>
      </c>
      <c r="J1063" s="1">
        <v>2.5</v>
      </c>
      <c r="M1063" s="4">
        <v>1428</v>
      </c>
      <c r="N1063" s="1">
        <v>4530</v>
      </c>
      <c r="O1063" s="1">
        <v>4530</v>
      </c>
      <c r="Q1063" s="1" t="s">
        <v>836</v>
      </c>
      <c r="S1063" s="1" t="s">
        <v>836</v>
      </c>
      <c r="T1063" s="1" t="s">
        <v>153</v>
      </c>
      <c r="U1063" s="1">
        <v>1</v>
      </c>
      <c r="V1063" s="5">
        <v>43725</v>
      </c>
      <c r="W1063" s="5">
        <v>41418</v>
      </c>
      <c r="X1063" s="1">
        <v>4650000</v>
      </c>
      <c r="Y1063" s="1">
        <v>4650000</v>
      </c>
      <c r="Z1063" s="5">
        <v>41657</v>
      </c>
      <c r="AA1063" s="1">
        <v>4771206</v>
      </c>
      <c r="AB1063" s="1" t="s">
        <v>894</v>
      </c>
      <c r="AC1063" s="5">
        <v>41997</v>
      </c>
      <c r="AF1063" s="1">
        <v>10065</v>
      </c>
      <c r="AI1063" s="1" t="s">
        <v>163</v>
      </c>
      <c r="AJ1063" s="1">
        <v>1951</v>
      </c>
      <c r="AK1063" s="1" t="s">
        <v>86</v>
      </c>
      <c r="AL1063" s="1">
        <v>68</v>
      </c>
    </row>
    <row r="1064" spans="1:38" x14ac:dyDescent="0.2">
      <c r="A1064" s="2" t="str">
        <f>HYPERLINK("https://www.compass.com/listing/21-east-61st-street-unit-5e-manhattan-ny-10065/29508842618382673/","21 E 61st St, Unit 5E")</f>
        <v>21 E 61st St, Unit 5E</v>
      </c>
      <c r="B1064" s="2" t="str">
        <f t="shared" si="151"/>
        <v>The Carlton House</v>
      </c>
      <c r="C1064" s="1" t="s">
        <v>98</v>
      </c>
      <c r="D1064" s="1" t="s">
        <v>41</v>
      </c>
      <c r="E1064" s="3">
        <v>10425039</v>
      </c>
      <c r="F1064" s="1">
        <v>2567.74353448275</v>
      </c>
      <c r="G1064" s="1">
        <v>9</v>
      </c>
      <c r="H1064" s="1">
        <v>5</v>
      </c>
      <c r="I1064" s="1">
        <v>6</v>
      </c>
      <c r="J1064" s="1">
        <v>5.5</v>
      </c>
      <c r="M1064" s="4">
        <v>4060</v>
      </c>
      <c r="N1064" s="1">
        <v>12841</v>
      </c>
      <c r="O1064" s="1">
        <v>12841</v>
      </c>
      <c r="Q1064" s="1" t="s">
        <v>836</v>
      </c>
      <c r="S1064" s="1" t="s">
        <v>836</v>
      </c>
      <c r="T1064" s="1" t="s">
        <v>153</v>
      </c>
      <c r="U1064" s="1">
        <v>158</v>
      </c>
      <c r="V1064" s="5">
        <v>43673</v>
      </c>
      <c r="W1064" s="5">
        <v>43217</v>
      </c>
      <c r="X1064" s="1">
        <v>12500000</v>
      </c>
      <c r="Y1064" s="1">
        <v>12500000</v>
      </c>
      <c r="Z1064" s="5">
        <v>43375</v>
      </c>
      <c r="AA1064" s="1">
        <v>10425038.75</v>
      </c>
      <c r="AB1064" s="1" t="s">
        <v>895</v>
      </c>
      <c r="AC1064" s="5">
        <v>43382</v>
      </c>
      <c r="AF1064" s="1">
        <v>10065</v>
      </c>
      <c r="AJ1064" s="1">
        <v>1951</v>
      </c>
      <c r="AK1064" s="1" t="s">
        <v>49</v>
      </c>
      <c r="AL1064" s="1">
        <v>68</v>
      </c>
    </row>
    <row r="1065" spans="1:38" x14ac:dyDescent="0.2">
      <c r="A1065" s="2" t="str">
        <f>HYPERLINK("https://www.compass.com/listing/21-east-61st-street-unit-5e-manhattan-ny-10065/803363368748316193/","21 E 61st St, Unit 5E")</f>
        <v>21 E 61st St, Unit 5E</v>
      </c>
      <c r="B1065" s="2" t="str">
        <f t="shared" si="151"/>
        <v>The Carlton House</v>
      </c>
      <c r="C1065" s="1" t="s">
        <v>98</v>
      </c>
      <c r="D1065" s="1" t="s">
        <v>41</v>
      </c>
      <c r="E1065" s="3">
        <v>10425039</v>
      </c>
      <c r="F1065" s="1">
        <v>2567.74353448275</v>
      </c>
      <c r="G1065" s="1">
        <v>9</v>
      </c>
      <c r="H1065" s="1">
        <v>5</v>
      </c>
      <c r="I1065" s="1">
        <v>6</v>
      </c>
      <c r="J1065" s="1">
        <v>5.5</v>
      </c>
      <c r="M1065" s="4">
        <v>4060</v>
      </c>
      <c r="N1065" s="1">
        <v>12841</v>
      </c>
      <c r="O1065" s="1">
        <v>12841</v>
      </c>
      <c r="Q1065" s="1" t="s">
        <v>836</v>
      </c>
      <c r="S1065" s="1" t="s">
        <v>836</v>
      </c>
      <c r="T1065" s="1" t="s">
        <v>153</v>
      </c>
      <c r="U1065" s="1">
        <v>77</v>
      </c>
      <c r="V1065" s="5">
        <v>43363</v>
      </c>
      <c r="W1065" s="5">
        <v>43216</v>
      </c>
      <c r="X1065" s="1">
        <v>12500000</v>
      </c>
      <c r="Y1065" s="1">
        <v>12500000</v>
      </c>
      <c r="AA1065" s="1">
        <v>10425038.75</v>
      </c>
      <c r="AB1065" s="1" t="s">
        <v>895</v>
      </c>
      <c r="AC1065" s="5">
        <v>43382</v>
      </c>
      <c r="AF1065" s="1">
        <v>10065</v>
      </c>
      <c r="AI1065" s="1" t="s">
        <v>66</v>
      </c>
      <c r="AJ1065" s="1">
        <v>1951</v>
      </c>
      <c r="AK1065" s="1" t="s">
        <v>49</v>
      </c>
      <c r="AL1065" s="1">
        <v>68</v>
      </c>
    </row>
    <row r="1066" spans="1:38" x14ac:dyDescent="0.2">
      <c r="A1066" s="2" t="str">
        <f>HYPERLINK("https://www.compass.com/listing/21-east-61st-street-unit-12b-manhattan-ny-10065/167849137381964849/","21 E 61st St, Unit 12B")</f>
        <v>21 E 61st St, Unit 12B</v>
      </c>
      <c r="B1066" s="2" t="str">
        <f t="shared" si="151"/>
        <v>The Carlton House</v>
      </c>
      <c r="C1066" s="1" t="s">
        <v>98</v>
      </c>
      <c r="D1066" s="1" t="s">
        <v>41</v>
      </c>
      <c r="E1066" s="3">
        <v>7131000</v>
      </c>
      <c r="F1066" s="1">
        <v>3610.6329113923998</v>
      </c>
      <c r="G1066" s="1">
        <v>5</v>
      </c>
      <c r="H1066" s="1">
        <v>3</v>
      </c>
      <c r="I1066" s="1">
        <v>3</v>
      </c>
      <c r="J1066" s="1">
        <v>2.5</v>
      </c>
      <c r="M1066" s="4">
        <v>1975</v>
      </c>
      <c r="N1066" s="1">
        <v>6331</v>
      </c>
      <c r="O1066" s="1">
        <v>6331</v>
      </c>
      <c r="Q1066" s="1" t="s">
        <v>836</v>
      </c>
      <c r="S1066" s="1" t="s">
        <v>836</v>
      </c>
      <c r="T1066" s="1" t="s">
        <v>153</v>
      </c>
      <c r="U1066" s="1">
        <v>224</v>
      </c>
      <c r="V1066" s="5">
        <v>43726</v>
      </c>
      <c r="W1066" s="5">
        <v>41417</v>
      </c>
      <c r="X1066" s="1">
        <v>8950000</v>
      </c>
      <c r="Y1066" s="1">
        <v>8950000</v>
      </c>
      <c r="Z1066" s="5">
        <v>41657</v>
      </c>
      <c r="AA1066" s="1">
        <v>7131000</v>
      </c>
      <c r="AB1066" s="1" t="s">
        <v>896</v>
      </c>
      <c r="AC1066" s="5">
        <v>42145</v>
      </c>
      <c r="AF1066" s="1">
        <v>10065</v>
      </c>
      <c r="AI1066" s="1" t="s">
        <v>146</v>
      </c>
      <c r="AJ1066" s="1">
        <v>1951</v>
      </c>
      <c r="AK1066" s="1" t="s">
        <v>46</v>
      </c>
      <c r="AL1066" s="1">
        <v>68</v>
      </c>
    </row>
    <row r="1067" spans="1:38" x14ac:dyDescent="0.2">
      <c r="A1067" s="2" t="str">
        <f>HYPERLINK("https://www.compass.com/listing/21-east-61st-street-unit-11f-manhattan-ny-10065/213488955239263249/","21 E 61st St, Unit 11F")</f>
        <v>21 E 61st St, Unit 11F</v>
      </c>
      <c r="B1067" s="2" t="str">
        <f t="shared" si="151"/>
        <v>The Carlton House</v>
      </c>
      <c r="C1067" s="1" t="s">
        <v>98</v>
      </c>
      <c r="D1067" s="1" t="s">
        <v>41</v>
      </c>
      <c r="E1067" s="3">
        <v>8505638</v>
      </c>
      <c r="F1067" s="1">
        <v>4042.6036121673001</v>
      </c>
      <c r="G1067" s="1">
        <v>6</v>
      </c>
      <c r="H1067" s="1">
        <v>3</v>
      </c>
      <c r="I1067" s="1">
        <v>3</v>
      </c>
      <c r="J1067" s="1">
        <v>2.5</v>
      </c>
      <c r="M1067" s="4">
        <v>2104</v>
      </c>
      <c r="N1067" s="1">
        <v>6823</v>
      </c>
      <c r="O1067" s="1">
        <v>6823</v>
      </c>
      <c r="Q1067" s="1" t="s">
        <v>836</v>
      </c>
      <c r="S1067" s="1" t="s">
        <v>836</v>
      </c>
      <c r="T1067" s="1" t="s">
        <v>153</v>
      </c>
      <c r="U1067" s="1">
        <v>224</v>
      </c>
      <c r="V1067" s="5">
        <v>43726</v>
      </c>
      <c r="W1067" s="5">
        <v>41417</v>
      </c>
      <c r="X1067" s="1">
        <v>8900000</v>
      </c>
      <c r="Y1067" s="1">
        <v>8900000</v>
      </c>
      <c r="Z1067" s="5">
        <v>41657</v>
      </c>
      <c r="AA1067" s="1">
        <v>8505638</v>
      </c>
      <c r="AB1067" s="1" t="s">
        <v>897</v>
      </c>
      <c r="AC1067" s="5">
        <v>42074</v>
      </c>
      <c r="AF1067" s="1">
        <v>10065</v>
      </c>
      <c r="AI1067" s="1" t="s">
        <v>146</v>
      </c>
      <c r="AJ1067" s="1">
        <v>1951</v>
      </c>
      <c r="AK1067" s="1" t="s">
        <v>46</v>
      </c>
      <c r="AL1067" s="1">
        <v>68</v>
      </c>
    </row>
    <row r="1068" spans="1:38" x14ac:dyDescent="0.2">
      <c r="A1068" s="2" t="str">
        <f>HYPERLINK("https://www.compass.com/listing/21-east-61st-street-unit-11f-manhattan-ny-10065/167849121879816865/","21 E 61st St, Unit 11F")</f>
        <v>21 E 61st St, Unit 11F</v>
      </c>
      <c r="B1068" s="2" t="str">
        <f t="shared" si="151"/>
        <v>The Carlton House</v>
      </c>
      <c r="C1068" s="1" t="s">
        <v>98</v>
      </c>
      <c r="D1068" s="1" t="s">
        <v>41</v>
      </c>
      <c r="E1068" s="3">
        <v>9151250</v>
      </c>
      <c r="F1068" s="1">
        <v>4349.4534220532296</v>
      </c>
      <c r="G1068" s="1">
        <v>5.5</v>
      </c>
      <c r="H1068" s="1">
        <v>3</v>
      </c>
      <c r="I1068" s="1">
        <v>3</v>
      </c>
      <c r="J1068" s="1">
        <v>3</v>
      </c>
      <c r="M1068" s="4">
        <v>2104</v>
      </c>
      <c r="N1068" s="1">
        <v>6860</v>
      </c>
      <c r="O1068" s="1">
        <v>6860</v>
      </c>
      <c r="Q1068" s="1" t="s">
        <v>836</v>
      </c>
      <c r="S1068" s="1" t="s">
        <v>836</v>
      </c>
      <c r="T1068" s="1" t="s">
        <v>153</v>
      </c>
      <c r="U1068" s="1">
        <v>121</v>
      </c>
      <c r="V1068" s="5">
        <v>43654</v>
      </c>
      <c r="W1068" s="5">
        <v>42192</v>
      </c>
      <c r="X1068" s="1">
        <v>10500000</v>
      </c>
      <c r="Y1068" s="1">
        <v>10500000</v>
      </c>
      <c r="Z1068" s="5">
        <v>42313</v>
      </c>
      <c r="AA1068" s="1">
        <v>9151250</v>
      </c>
      <c r="AB1068" s="1" t="s">
        <v>898</v>
      </c>
      <c r="AC1068" s="5">
        <v>42317</v>
      </c>
      <c r="AF1068" s="1">
        <v>10065</v>
      </c>
      <c r="AI1068" s="1" t="s">
        <v>146</v>
      </c>
      <c r="AJ1068" s="1">
        <v>1951</v>
      </c>
      <c r="AK1068" s="1" t="s">
        <v>86</v>
      </c>
      <c r="AL1068" s="1">
        <v>68</v>
      </c>
    </row>
    <row r="1069" spans="1:38" x14ac:dyDescent="0.2">
      <c r="A1069" s="2" t="str">
        <f>HYPERLINK("https://www.compass.com/listing/21-east-61st-street-unit-14b-manhattan-ny-10065/29410721439702849/","21 E 61st St, Unit 14B")</f>
        <v>21 E 61st St, Unit 14B</v>
      </c>
      <c r="B1069" s="2" t="str">
        <f t="shared" si="151"/>
        <v>The Carlton House</v>
      </c>
      <c r="C1069" s="1" t="s">
        <v>98</v>
      </c>
      <c r="D1069" s="1" t="s">
        <v>41</v>
      </c>
      <c r="E1069" s="3">
        <v>23423000</v>
      </c>
      <c r="F1069" s="1">
        <v>4918.7316253674899</v>
      </c>
      <c r="G1069" s="1">
        <v>9</v>
      </c>
      <c r="H1069" s="1">
        <v>4</v>
      </c>
      <c r="I1069" s="1">
        <v>6</v>
      </c>
      <c r="J1069" s="1">
        <v>5.5</v>
      </c>
      <c r="M1069" s="4">
        <v>4762</v>
      </c>
      <c r="N1069" s="1">
        <v>15883</v>
      </c>
      <c r="O1069" s="1">
        <v>15883</v>
      </c>
      <c r="Q1069" s="1" t="s">
        <v>836</v>
      </c>
      <c r="S1069" s="1" t="s">
        <v>836</v>
      </c>
      <c r="T1069" s="1" t="s">
        <v>153</v>
      </c>
      <c r="U1069" s="1">
        <v>186</v>
      </c>
      <c r="V1069" s="5">
        <v>43654</v>
      </c>
      <c r="W1069" s="5">
        <v>41370</v>
      </c>
      <c r="X1069" s="1">
        <v>27500000</v>
      </c>
      <c r="Y1069" s="1">
        <v>27500000</v>
      </c>
      <c r="Z1069" s="5">
        <v>41556</v>
      </c>
      <c r="AA1069" s="1">
        <v>23423000</v>
      </c>
      <c r="AB1069" s="1" t="s">
        <v>899</v>
      </c>
      <c r="AC1069" s="5">
        <v>42068</v>
      </c>
      <c r="AF1069" s="1">
        <v>10065</v>
      </c>
      <c r="AI1069" s="1" t="s">
        <v>163</v>
      </c>
      <c r="AJ1069" s="1">
        <v>1951</v>
      </c>
      <c r="AK1069" s="1" t="s">
        <v>99</v>
      </c>
      <c r="AL1069" s="1">
        <v>68</v>
      </c>
    </row>
    <row r="1070" spans="1:38" x14ac:dyDescent="0.2">
      <c r="A1070" s="2" t="str">
        <f>HYPERLINK("https://www.compass.com/listing/21-east-61st-street-unit-15b-manhattan-ny-10065/278794561675969457/","21 E 61st St, Unit 15B")</f>
        <v>21 E 61st St, Unit 15B</v>
      </c>
      <c r="B1070" s="2" t="str">
        <f t="shared" si="151"/>
        <v>The Carlton House</v>
      </c>
      <c r="C1070" s="1" t="s">
        <v>98</v>
      </c>
      <c r="D1070" s="1" t="s">
        <v>41</v>
      </c>
      <c r="E1070" s="3">
        <v>20140162</v>
      </c>
      <c r="F1070" s="1">
        <v>4275.1352154531896</v>
      </c>
      <c r="G1070" s="1">
        <v>9</v>
      </c>
      <c r="H1070" s="1">
        <v>4</v>
      </c>
      <c r="I1070" s="1">
        <v>6</v>
      </c>
      <c r="J1070" s="1">
        <v>5.5</v>
      </c>
      <c r="M1070" s="4">
        <v>4711</v>
      </c>
      <c r="N1070" s="1">
        <v>14901</v>
      </c>
      <c r="O1070" s="1">
        <v>14901</v>
      </c>
      <c r="Q1070" s="1" t="s">
        <v>836</v>
      </c>
      <c r="S1070" s="1" t="s">
        <v>836</v>
      </c>
      <c r="T1070" s="1" t="s">
        <v>153</v>
      </c>
      <c r="V1070" s="5">
        <v>41640</v>
      </c>
      <c r="Y1070" s="1">
        <v>23500000</v>
      </c>
      <c r="Z1070" s="5">
        <v>42105</v>
      </c>
      <c r="AA1070" s="1">
        <v>20140162</v>
      </c>
      <c r="AB1070" s="1" t="s">
        <v>900</v>
      </c>
      <c r="AC1070" s="5">
        <v>42123</v>
      </c>
      <c r="AF1070" s="1">
        <v>10065</v>
      </c>
      <c r="AJ1070" s="1">
        <v>1951</v>
      </c>
      <c r="AK1070" s="1" t="s">
        <v>99</v>
      </c>
      <c r="AL1070" s="1">
        <v>68</v>
      </c>
    </row>
    <row r="1071" spans="1:38" x14ac:dyDescent="0.2">
      <c r="A1071" s="2" t="str">
        <f>HYPERLINK("https://www.compass.com/listing/21-east-61st-street-unit-ph-manhattan-ny-10065/502269123720597729/","21 E 61st St, Unit PH")</f>
        <v>21 E 61st St, Unit PH</v>
      </c>
      <c r="B1071" s="2" t="str">
        <f t="shared" si="151"/>
        <v>The Carlton House</v>
      </c>
      <c r="C1071" s="1" t="s">
        <v>98</v>
      </c>
      <c r="D1071" s="1" t="s">
        <v>41</v>
      </c>
      <c r="E1071" s="3">
        <v>52000000</v>
      </c>
      <c r="F1071" s="1">
        <v>5947.6152350451703</v>
      </c>
      <c r="G1071" s="1">
        <v>12</v>
      </c>
      <c r="H1071" s="1">
        <v>6</v>
      </c>
      <c r="I1071" s="1">
        <v>7</v>
      </c>
      <c r="J1071" s="1">
        <v>6.5</v>
      </c>
      <c r="M1071" s="4">
        <v>8743</v>
      </c>
      <c r="N1071" s="1">
        <v>31766</v>
      </c>
      <c r="O1071" s="1">
        <v>31766</v>
      </c>
      <c r="Q1071" s="1" t="s">
        <v>836</v>
      </c>
      <c r="S1071" s="1" t="s">
        <v>836</v>
      </c>
      <c r="T1071" s="1" t="s">
        <v>153</v>
      </c>
      <c r="U1071" s="1">
        <v>181</v>
      </c>
      <c r="V1071" s="5">
        <v>41640</v>
      </c>
      <c r="W1071" s="5">
        <v>41662</v>
      </c>
      <c r="X1071" s="1">
        <v>65000000</v>
      </c>
      <c r="Y1071" s="1">
        <v>65000000</v>
      </c>
      <c r="Z1071" s="5">
        <v>42105</v>
      </c>
      <c r="AA1071" s="1">
        <v>52000000</v>
      </c>
      <c r="AB1071" s="1" t="s">
        <v>901</v>
      </c>
      <c r="AC1071" s="5">
        <v>42019</v>
      </c>
      <c r="AF1071" s="1">
        <v>10065</v>
      </c>
      <c r="AJ1071" s="1">
        <v>1951</v>
      </c>
      <c r="AK1071" s="1" t="s">
        <v>99</v>
      </c>
      <c r="AL1071" s="1">
        <v>68</v>
      </c>
    </row>
    <row r="1072" spans="1:38" x14ac:dyDescent="0.2">
      <c r="A1072" s="2" t="str">
        <f>HYPERLINK("https://www.compass.com/listing/21-east-61st-street-unit-4b-manhattan-ny-10065/29410725969635153/","21 E 61st St, Unit 4B")</f>
        <v>21 E 61st St, Unit 4B</v>
      </c>
      <c r="B1072" s="2" t="str">
        <f t="shared" si="151"/>
        <v>The Carlton House</v>
      </c>
      <c r="C1072" s="1" t="s">
        <v>98</v>
      </c>
      <c r="D1072" s="1" t="s">
        <v>41</v>
      </c>
      <c r="E1072" s="3">
        <v>11851125</v>
      </c>
      <c r="F1072" s="1">
        <v>3159.4574780058601</v>
      </c>
      <c r="G1072" s="1">
        <v>9</v>
      </c>
      <c r="H1072" s="1">
        <v>4</v>
      </c>
      <c r="I1072" s="1">
        <v>4</v>
      </c>
      <c r="J1072" s="1">
        <v>4</v>
      </c>
      <c r="K1072" s="1">
        <v>4</v>
      </c>
      <c r="M1072" s="4">
        <v>3751</v>
      </c>
      <c r="N1072" s="1">
        <v>11693</v>
      </c>
      <c r="O1072" s="1">
        <v>11693</v>
      </c>
      <c r="Q1072" s="1" t="s">
        <v>836</v>
      </c>
      <c r="S1072" s="1" t="s">
        <v>836</v>
      </c>
      <c r="T1072" s="1" t="s">
        <v>153</v>
      </c>
      <c r="U1072" s="1">
        <v>34</v>
      </c>
      <c r="V1072" s="5">
        <v>43654</v>
      </c>
      <c r="W1072" s="5">
        <v>42307</v>
      </c>
      <c r="X1072" s="1">
        <v>11995000</v>
      </c>
      <c r="Y1072" s="1">
        <v>11995000</v>
      </c>
      <c r="Z1072" s="5">
        <v>42341</v>
      </c>
      <c r="AA1072" s="1">
        <v>11851125</v>
      </c>
      <c r="AB1072" s="1" t="s">
        <v>902</v>
      </c>
      <c r="AC1072" s="5">
        <v>42341</v>
      </c>
      <c r="AF1072" s="1">
        <v>10065</v>
      </c>
      <c r="AJ1072" s="1">
        <v>1951</v>
      </c>
      <c r="AK1072" s="1" t="s">
        <v>46</v>
      </c>
      <c r="AL1072" s="1">
        <v>68</v>
      </c>
    </row>
    <row r="1073" spans="1:38" x14ac:dyDescent="0.2">
      <c r="A1073" s="2" t="str">
        <f>HYPERLINK("https://www.compass.com/listing/110-charlton-street-unit-15c-manhattan-ny-10014/841486988259930609/","110 Charlton St, Unit 15C")</f>
        <v>110 Charlton St, Unit 15C</v>
      </c>
      <c r="B1073" s="2" t="str">
        <f t="shared" ref="B1073:B1080" si="152">HYPERLINK("https://www.compass.com/building/greenwich-west-manhattan-ny/282058690331179733/","Greenwich West")</f>
        <v>Greenwich West</v>
      </c>
      <c r="C1073" s="1" t="s">
        <v>72</v>
      </c>
      <c r="D1073" s="1" t="s">
        <v>41</v>
      </c>
      <c r="E1073" s="3">
        <v>2497963</v>
      </c>
      <c r="F1073" s="1">
        <v>2085.1106010016601</v>
      </c>
      <c r="H1073" s="1">
        <v>2</v>
      </c>
      <c r="J1073" s="1">
        <v>2</v>
      </c>
      <c r="K1073" s="1">
        <v>2</v>
      </c>
      <c r="M1073" s="4">
        <v>1198</v>
      </c>
      <c r="N1073" s="1">
        <v>1077</v>
      </c>
      <c r="O1073" s="1">
        <v>3434</v>
      </c>
      <c r="P1073" s="1">
        <v>2357</v>
      </c>
      <c r="Q1073" s="1" t="s">
        <v>42</v>
      </c>
      <c r="S1073" s="1" t="s">
        <v>42</v>
      </c>
      <c r="T1073" s="1" t="s">
        <v>153</v>
      </c>
      <c r="AA1073" s="1">
        <v>2497962.5</v>
      </c>
      <c r="AB1073" s="1" t="s">
        <v>903</v>
      </c>
      <c r="AC1073" s="5">
        <v>44266</v>
      </c>
      <c r="AF1073" s="1">
        <v>10014</v>
      </c>
      <c r="AI1073" s="1" t="s">
        <v>51</v>
      </c>
      <c r="AJ1073" s="1">
        <v>2020</v>
      </c>
      <c r="AK1073" s="1" t="s">
        <v>49</v>
      </c>
      <c r="AL1073" s="1">
        <v>170</v>
      </c>
    </row>
    <row r="1074" spans="1:38" x14ac:dyDescent="0.2">
      <c r="A1074" s="2" t="str">
        <f>HYPERLINK("https://www.compass.com/listing/110-charlton-street-unit-19h-manhattan-ny-10014/841527327304744129/","110 Charlton St, Unit 19H")</f>
        <v>110 Charlton St, Unit 19H</v>
      </c>
      <c r="B1074" s="2" t="str">
        <f t="shared" si="152"/>
        <v>Greenwich West</v>
      </c>
      <c r="C1074" s="1" t="s">
        <v>72</v>
      </c>
      <c r="D1074" s="1" t="s">
        <v>41</v>
      </c>
      <c r="E1074" s="3">
        <v>2462324</v>
      </c>
      <c r="F1074" s="1">
        <v>2093.8127125850301</v>
      </c>
      <c r="H1074" s="1">
        <v>2</v>
      </c>
      <c r="J1074" s="1">
        <v>2</v>
      </c>
      <c r="K1074" s="1">
        <v>2</v>
      </c>
      <c r="M1074" s="4">
        <v>1176</v>
      </c>
      <c r="N1074" s="1">
        <v>1058</v>
      </c>
      <c r="O1074" s="1">
        <v>2243</v>
      </c>
      <c r="P1074" s="1">
        <v>1185</v>
      </c>
      <c r="Q1074" s="1" t="s">
        <v>42</v>
      </c>
      <c r="S1074" s="1" t="s">
        <v>42</v>
      </c>
      <c r="T1074" s="1" t="s">
        <v>153</v>
      </c>
      <c r="AA1074" s="1">
        <v>2462323.75</v>
      </c>
      <c r="AB1074" s="1" t="s">
        <v>904</v>
      </c>
      <c r="AC1074" s="5">
        <v>44148</v>
      </c>
      <c r="AF1074" s="1">
        <v>10014</v>
      </c>
      <c r="AI1074" s="1" t="s">
        <v>51</v>
      </c>
      <c r="AJ1074" s="1">
        <v>2020</v>
      </c>
      <c r="AK1074" s="1" t="s">
        <v>49</v>
      </c>
      <c r="AL1074" s="1">
        <v>170</v>
      </c>
    </row>
    <row r="1075" spans="1:38" x14ac:dyDescent="0.2">
      <c r="A1075" s="2" t="str">
        <f>HYPERLINK("https://www.compass.com/listing/110-charlton-street-unit-5b-manhattan-ny-10014/841489010819574649/","110 Charlton St, Unit 5B")</f>
        <v>110 Charlton St, Unit 5B</v>
      </c>
      <c r="B1075" s="2" t="str">
        <f t="shared" si="152"/>
        <v>Greenwich West</v>
      </c>
      <c r="C1075" s="1" t="s">
        <v>72</v>
      </c>
      <c r="D1075" s="1" t="s">
        <v>41</v>
      </c>
      <c r="E1075" s="3">
        <v>1575000</v>
      </c>
      <c r="F1075" s="1">
        <v>1759.7765363128401</v>
      </c>
      <c r="H1075" s="1">
        <v>1</v>
      </c>
      <c r="J1075" s="1">
        <v>1</v>
      </c>
      <c r="K1075" s="1">
        <v>1</v>
      </c>
      <c r="M1075" s="1">
        <v>895</v>
      </c>
      <c r="N1075" s="1">
        <v>805</v>
      </c>
      <c r="O1075" s="1">
        <v>1707</v>
      </c>
      <c r="P1075" s="1">
        <v>902</v>
      </c>
      <c r="Q1075" s="1" t="s">
        <v>42</v>
      </c>
      <c r="S1075" s="1" t="s">
        <v>42</v>
      </c>
      <c r="T1075" s="1" t="s">
        <v>153</v>
      </c>
      <c r="AA1075" s="1">
        <v>1575000</v>
      </c>
      <c r="AB1075" s="1" t="s">
        <v>905</v>
      </c>
      <c r="AC1075" s="5">
        <v>44182</v>
      </c>
      <c r="AF1075" s="1">
        <v>10014</v>
      </c>
      <c r="AI1075" s="1" t="s">
        <v>51</v>
      </c>
      <c r="AJ1075" s="1">
        <v>2020</v>
      </c>
      <c r="AK1075" s="1" t="s">
        <v>49</v>
      </c>
      <c r="AL1075" s="1">
        <v>170</v>
      </c>
    </row>
    <row r="1076" spans="1:38" x14ac:dyDescent="0.2">
      <c r="A1076" s="2" t="str">
        <f>HYPERLINK("https://www.compass.com/listing/110-charlton-street-unit-15h-manhattan-ny-10014/841496144651765449/","110 Charlton St, Unit 15H")</f>
        <v>110 Charlton St, Unit 15H</v>
      </c>
      <c r="B1076" s="2" t="str">
        <f t="shared" si="152"/>
        <v>Greenwich West</v>
      </c>
      <c r="C1076" s="1" t="s">
        <v>72</v>
      </c>
      <c r="D1076" s="1" t="s">
        <v>41</v>
      </c>
      <c r="E1076" s="3">
        <v>1670000</v>
      </c>
      <c r="F1076" s="1">
        <v>1849.39091915836</v>
      </c>
      <c r="H1076" s="1">
        <v>1</v>
      </c>
      <c r="J1076" s="1">
        <v>1</v>
      </c>
      <c r="K1076" s="1">
        <v>1</v>
      </c>
      <c r="M1076" s="1">
        <v>903</v>
      </c>
      <c r="N1076" s="1">
        <v>812</v>
      </c>
      <c r="O1076" s="1">
        <v>2589</v>
      </c>
      <c r="P1076" s="1">
        <v>1777</v>
      </c>
      <c r="Q1076" s="1" t="s">
        <v>42</v>
      </c>
      <c r="S1076" s="1" t="s">
        <v>42</v>
      </c>
      <c r="T1076" s="1" t="s">
        <v>153</v>
      </c>
      <c r="AA1076" s="1">
        <v>1670000</v>
      </c>
      <c r="AB1076" s="1" t="s">
        <v>906</v>
      </c>
      <c r="AC1076" s="5">
        <v>44271</v>
      </c>
      <c r="AF1076" s="1">
        <v>10014</v>
      </c>
      <c r="AI1076" s="1" t="s">
        <v>51</v>
      </c>
      <c r="AJ1076" s="1">
        <v>2020</v>
      </c>
      <c r="AK1076" s="1" t="s">
        <v>49</v>
      </c>
      <c r="AL1076" s="1">
        <v>170</v>
      </c>
    </row>
    <row r="1077" spans="1:38" x14ac:dyDescent="0.2">
      <c r="A1077" s="2" t="str">
        <f>HYPERLINK("https://www.compass.com/listing/110-charlton-street-unit-22a-manhattan-ny-10014/841513820194678497/","110 Charlton St, Unit 22A")</f>
        <v>110 Charlton St, Unit 22A</v>
      </c>
      <c r="B1077" s="2" t="str">
        <f t="shared" si="152"/>
        <v>Greenwich West</v>
      </c>
      <c r="C1077" s="1" t="s">
        <v>72</v>
      </c>
      <c r="D1077" s="1" t="s">
        <v>41</v>
      </c>
      <c r="E1077" s="3">
        <v>3875000</v>
      </c>
      <c r="F1077" s="1">
        <v>2396.4131106988202</v>
      </c>
      <c r="H1077" s="1">
        <v>2</v>
      </c>
      <c r="J1077" s="1">
        <v>2.5</v>
      </c>
      <c r="K1077" s="1">
        <v>2</v>
      </c>
      <c r="L1077" s="1">
        <v>1</v>
      </c>
      <c r="M1077" s="4">
        <v>1617</v>
      </c>
      <c r="N1077" s="1">
        <v>1454</v>
      </c>
      <c r="O1077" s="1">
        <v>3084</v>
      </c>
      <c r="P1077" s="1">
        <v>1630</v>
      </c>
      <c r="Q1077" s="1" t="s">
        <v>42</v>
      </c>
      <c r="S1077" s="1" t="s">
        <v>42</v>
      </c>
      <c r="T1077" s="1" t="s">
        <v>153</v>
      </c>
      <c r="AA1077" s="1">
        <v>3875000</v>
      </c>
      <c r="AB1077" s="1" t="s">
        <v>907</v>
      </c>
      <c r="AC1077" s="5">
        <v>44277</v>
      </c>
      <c r="AF1077" s="1">
        <v>10014</v>
      </c>
      <c r="AI1077" s="1" t="s">
        <v>51</v>
      </c>
      <c r="AJ1077" s="1">
        <v>2020</v>
      </c>
      <c r="AK1077" s="1" t="s">
        <v>49</v>
      </c>
      <c r="AL1077" s="1">
        <v>170</v>
      </c>
    </row>
    <row r="1078" spans="1:38" x14ac:dyDescent="0.2">
      <c r="A1078" s="2" t="str">
        <f>HYPERLINK("https://www.compass.com/listing/110-charlton-street-unit-23a-manhattan-ny-10014/841530743733145665/","110 Charlton St, Unit 23A")</f>
        <v>110 Charlton St, Unit 23A</v>
      </c>
      <c r="B1078" s="2" t="str">
        <f t="shared" si="152"/>
        <v>Greenwich West</v>
      </c>
      <c r="C1078" s="1" t="s">
        <v>72</v>
      </c>
      <c r="D1078" s="1" t="s">
        <v>41</v>
      </c>
      <c r="E1078" s="3">
        <v>3995000</v>
      </c>
      <c r="F1078" s="1">
        <v>2470.6246134817502</v>
      </c>
      <c r="H1078" s="1">
        <v>2</v>
      </c>
      <c r="J1078" s="1">
        <v>2.5</v>
      </c>
      <c r="K1078" s="1">
        <v>2</v>
      </c>
      <c r="L1078" s="1">
        <v>1</v>
      </c>
      <c r="M1078" s="4">
        <v>1617</v>
      </c>
      <c r="N1078" s="1">
        <v>1454</v>
      </c>
      <c r="O1078" s="1">
        <v>3084</v>
      </c>
      <c r="P1078" s="1">
        <v>1630</v>
      </c>
      <c r="Q1078" s="1" t="s">
        <v>42</v>
      </c>
      <c r="S1078" s="1" t="s">
        <v>42</v>
      </c>
      <c r="T1078" s="1" t="s">
        <v>153</v>
      </c>
      <c r="AA1078" s="1">
        <v>3995000</v>
      </c>
      <c r="AB1078" s="1" t="s">
        <v>908</v>
      </c>
      <c r="AC1078" s="5">
        <v>44267</v>
      </c>
      <c r="AF1078" s="1">
        <v>10014</v>
      </c>
      <c r="AI1078" s="1" t="s">
        <v>51</v>
      </c>
      <c r="AJ1078" s="1">
        <v>2020</v>
      </c>
      <c r="AK1078" s="1" t="s">
        <v>49</v>
      </c>
      <c r="AL1078" s="1">
        <v>170</v>
      </c>
    </row>
    <row r="1079" spans="1:38" x14ac:dyDescent="0.2">
      <c r="A1079" s="2" t="str">
        <f>HYPERLINK("https://www.compass.com/listing/110-charlton-street-unit-15a-manhattan-ny-10014/776883985119675473/","110 Charlton St, Unit 15A")</f>
        <v>110 Charlton St, Unit 15A</v>
      </c>
      <c r="B1079" s="2" t="str">
        <f t="shared" si="152"/>
        <v>Greenwich West</v>
      </c>
      <c r="C1079" s="1" t="s">
        <v>72</v>
      </c>
      <c r="D1079" s="1" t="s">
        <v>41</v>
      </c>
      <c r="E1079" s="3">
        <v>2725000</v>
      </c>
      <c r="G1079" s="1">
        <v>6</v>
      </c>
      <c r="H1079" s="1">
        <v>2</v>
      </c>
      <c r="I1079" s="1">
        <v>2</v>
      </c>
      <c r="J1079" s="1">
        <v>2</v>
      </c>
      <c r="K1079" s="1">
        <v>2</v>
      </c>
      <c r="N1079" s="1">
        <v>1210</v>
      </c>
      <c r="O1079" s="1">
        <v>3859</v>
      </c>
      <c r="P1079" s="1">
        <v>2649</v>
      </c>
      <c r="Q1079" s="1" t="s">
        <v>42</v>
      </c>
      <c r="S1079" s="1" t="s">
        <v>42</v>
      </c>
      <c r="T1079" s="1" t="s">
        <v>153</v>
      </c>
      <c r="U1079" s="1">
        <v>635</v>
      </c>
      <c r="V1079" s="5">
        <v>44328</v>
      </c>
      <c r="W1079" s="5">
        <v>43593</v>
      </c>
      <c r="X1079" s="1">
        <v>2765000</v>
      </c>
      <c r="Y1079" s="1">
        <v>2765000</v>
      </c>
      <c r="Z1079" s="5">
        <v>44324</v>
      </c>
      <c r="AA1079" s="1">
        <v>2725000</v>
      </c>
      <c r="AB1079" s="1" t="s">
        <v>909</v>
      </c>
      <c r="AC1079" s="5">
        <v>44322</v>
      </c>
      <c r="AF1079" s="1">
        <v>10014</v>
      </c>
      <c r="AI1079" s="1" t="s">
        <v>51</v>
      </c>
      <c r="AJ1079" s="1">
        <v>2020</v>
      </c>
      <c r="AK1079" s="1" t="s">
        <v>46</v>
      </c>
      <c r="AL1079" s="1">
        <v>170</v>
      </c>
    </row>
    <row r="1080" spans="1:38" x14ac:dyDescent="0.2">
      <c r="A1080" s="2" t="str">
        <f>HYPERLINK("https://www.compass.com/listing/110-charlton-street-unit-28e-manhattan-ny-10014/841541056697228057/","110 Charlton St, Unit 28E")</f>
        <v>110 Charlton St, Unit 28E</v>
      </c>
      <c r="B1080" s="2" t="str">
        <f t="shared" si="152"/>
        <v>Greenwich West</v>
      </c>
      <c r="C1080" s="1" t="s">
        <v>72</v>
      </c>
      <c r="D1080" s="1" t="s">
        <v>41</v>
      </c>
      <c r="E1080" s="3">
        <v>2820000</v>
      </c>
      <c r="F1080" s="1">
        <v>2397.9591836734598</v>
      </c>
      <c r="H1080" s="1">
        <v>2</v>
      </c>
      <c r="J1080" s="1">
        <v>2</v>
      </c>
      <c r="K1080" s="1">
        <v>2</v>
      </c>
      <c r="M1080" s="4">
        <v>1176</v>
      </c>
      <c r="N1080" s="1">
        <v>1058</v>
      </c>
      <c r="O1080" s="1">
        <v>2243</v>
      </c>
      <c r="P1080" s="1">
        <v>1185</v>
      </c>
      <c r="Q1080" s="1" t="s">
        <v>42</v>
      </c>
      <c r="S1080" s="1" t="s">
        <v>42</v>
      </c>
      <c r="T1080" s="1" t="s">
        <v>153</v>
      </c>
      <c r="AA1080" s="1">
        <v>2820000</v>
      </c>
      <c r="AB1080" s="1" t="s">
        <v>910</v>
      </c>
      <c r="AC1080" s="5">
        <v>44278</v>
      </c>
      <c r="AF1080" s="1">
        <v>10014</v>
      </c>
      <c r="AI1080" s="1" t="s">
        <v>51</v>
      </c>
      <c r="AJ1080" s="1">
        <v>2020</v>
      </c>
      <c r="AK1080" s="1" t="s">
        <v>49</v>
      </c>
      <c r="AL1080" s="1">
        <v>170</v>
      </c>
    </row>
    <row r="1081" spans="1:38" x14ac:dyDescent="0.2">
      <c r="A1081" s="2" t="str">
        <f>HYPERLINK("https://www.compass.com/listing/101-leonard-street-unit-8e-manhattan-ny-10013/841195428976101417/","101 Leonard St, Unit 8E")</f>
        <v>101 Leonard St, Unit 8E</v>
      </c>
      <c r="B1081" s="2" t="str">
        <f t="shared" ref="B1081:B1091" si="153">HYPERLINK("https://www.compass.com/building/the-leonard-manhattan-ny/281919139939910965/","The Leonard")</f>
        <v>The Leonard</v>
      </c>
      <c r="C1081" s="1" t="s">
        <v>65</v>
      </c>
      <c r="D1081" s="1" t="s">
        <v>41</v>
      </c>
      <c r="E1081" s="3">
        <v>3161666</v>
      </c>
      <c r="F1081" s="1">
        <v>1610.6297758532801</v>
      </c>
      <c r="G1081" s="1">
        <v>7</v>
      </c>
      <c r="H1081" s="1">
        <v>3</v>
      </c>
      <c r="I1081" s="1">
        <v>3</v>
      </c>
      <c r="J1081" s="1">
        <v>3</v>
      </c>
      <c r="M1081" s="4">
        <v>1963</v>
      </c>
      <c r="Q1081" s="1" t="s">
        <v>42</v>
      </c>
      <c r="S1081" s="1" t="s">
        <v>42</v>
      </c>
      <c r="T1081" s="1" t="s">
        <v>153</v>
      </c>
      <c r="V1081" s="5">
        <v>42830</v>
      </c>
      <c r="Y1081" s="1">
        <v>3105000</v>
      </c>
      <c r="Z1081" s="5">
        <v>41508</v>
      </c>
      <c r="AA1081" s="1">
        <v>3161666.25</v>
      </c>
      <c r="AB1081" s="1" t="s">
        <v>911</v>
      </c>
      <c r="AC1081" s="5">
        <v>41949</v>
      </c>
      <c r="AF1081" s="1">
        <v>10013</v>
      </c>
      <c r="AI1081" s="1" t="s">
        <v>55</v>
      </c>
      <c r="AJ1081" s="1">
        <v>2014</v>
      </c>
      <c r="AK1081" s="1" t="s">
        <v>46</v>
      </c>
      <c r="AL1081" s="1">
        <v>66</v>
      </c>
    </row>
    <row r="1082" spans="1:38" x14ac:dyDescent="0.2">
      <c r="A1082" s="2" t="str">
        <f>HYPERLINK("https://www.compass.com/listing/101-leonard-street-unit-2b-manhattan-ny-10013/841619097426882089/","101 Leonard St, Unit 2B")</f>
        <v>101 Leonard St, Unit 2B</v>
      </c>
      <c r="B1082" s="2" t="str">
        <f t="shared" si="153"/>
        <v>The Leonard</v>
      </c>
      <c r="C1082" s="1" t="s">
        <v>65</v>
      </c>
      <c r="D1082" s="1" t="s">
        <v>41</v>
      </c>
      <c r="E1082" s="3">
        <v>3131119</v>
      </c>
      <c r="F1082" s="1">
        <v>1725.1342975206601</v>
      </c>
      <c r="G1082" s="1">
        <v>4</v>
      </c>
      <c r="H1082" s="1">
        <v>3</v>
      </c>
      <c r="I1082" s="1">
        <v>3.5</v>
      </c>
      <c r="J1082" s="1">
        <v>3.5</v>
      </c>
      <c r="M1082" s="4">
        <v>1815</v>
      </c>
      <c r="Q1082" s="1" t="s">
        <v>42</v>
      </c>
      <c r="S1082" s="1" t="s">
        <v>42</v>
      </c>
      <c r="T1082" s="1" t="s">
        <v>153</v>
      </c>
      <c r="U1082" s="1">
        <v>224</v>
      </c>
      <c r="V1082" s="5">
        <v>42919</v>
      </c>
      <c r="W1082" s="5">
        <v>41624</v>
      </c>
      <c r="X1082" s="1">
        <v>3075000</v>
      </c>
      <c r="Y1082" s="1">
        <v>3075000</v>
      </c>
      <c r="Z1082" s="5">
        <v>41849</v>
      </c>
      <c r="AA1082" s="1">
        <v>3131118.75</v>
      </c>
      <c r="AB1082" s="1" t="s">
        <v>912</v>
      </c>
      <c r="AC1082" s="5">
        <v>41948</v>
      </c>
      <c r="AF1082" s="1">
        <v>10013</v>
      </c>
      <c r="AI1082" s="1" t="s">
        <v>55</v>
      </c>
      <c r="AJ1082" s="1">
        <v>2014</v>
      </c>
      <c r="AK1082" s="1" t="s">
        <v>46</v>
      </c>
      <c r="AL1082" s="1">
        <v>66</v>
      </c>
    </row>
    <row r="1083" spans="1:38" x14ac:dyDescent="0.2">
      <c r="A1083" s="2" t="str">
        <f>HYPERLINK("https://www.compass.com/listing/101-leonard-street-unit-7b-manhattan-ny-10013/29358430640699329/","101 Leonard St, Unit 7B")</f>
        <v>101 Leonard St, Unit 7B</v>
      </c>
      <c r="B1083" s="2" t="str">
        <f t="shared" si="153"/>
        <v>The Leonard</v>
      </c>
      <c r="C1083" s="1" t="s">
        <v>65</v>
      </c>
      <c r="D1083" s="1" t="s">
        <v>41</v>
      </c>
      <c r="E1083" s="3">
        <v>1750000</v>
      </c>
      <c r="F1083" s="1">
        <v>964.18732782369102</v>
      </c>
      <c r="H1083" s="1">
        <v>3</v>
      </c>
      <c r="J1083" s="1">
        <v>3.5</v>
      </c>
      <c r="M1083" s="4">
        <v>1815</v>
      </c>
      <c r="N1083" s="1">
        <v>2020</v>
      </c>
      <c r="O1083" s="1">
        <v>4026</v>
      </c>
      <c r="P1083" s="1">
        <v>2006</v>
      </c>
      <c r="Q1083" s="1" t="s">
        <v>42</v>
      </c>
      <c r="S1083" s="1" t="s">
        <v>42</v>
      </c>
      <c r="T1083" s="1" t="s">
        <v>153</v>
      </c>
      <c r="AA1083" s="1">
        <v>1750000</v>
      </c>
      <c r="AB1083" s="1" t="s">
        <v>913</v>
      </c>
      <c r="AC1083" s="5">
        <v>42765</v>
      </c>
      <c r="AF1083" s="1">
        <v>10013</v>
      </c>
      <c r="AI1083" s="1" t="s">
        <v>55</v>
      </c>
      <c r="AJ1083" s="1">
        <v>2014</v>
      </c>
      <c r="AK1083" s="1" t="s">
        <v>49</v>
      </c>
      <c r="AL1083" s="1">
        <v>66</v>
      </c>
    </row>
    <row r="1084" spans="1:38" x14ac:dyDescent="0.2">
      <c r="A1084" s="2" t="str">
        <f>HYPERLINK("https://www.compass.com/listing/101-leonard-street-unit-8f-manhattan-ny-10013/276883811390791825/","101 Leonard St, Unit 8F")</f>
        <v>101 Leonard St, Unit 8F</v>
      </c>
      <c r="B1084" s="2" t="str">
        <f t="shared" si="153"/>
        <v>The Leonard</v>
      </c>
      <c r="C1084" s="1" t="s">
        <v>77</v>
      </c>
      <c r="D1084" s="1" t="s">
        <v>41</v>
      </c>
      <c r="E1084" s="3">
        <v>1873580</v>
      </c>
      <c r="F1084" s="1">
        <v>1464.8788115715399</v>
      </c>
      <c r="H1084" s="1">
        <v>2</v>
      </c>
      <c r="J1084" s="1">
        <v>2</v>
      </c>
      <c r="K1084" s="1">
        <v>2</v>
      </c>
      <c r="M1084" s="4">
        <v>1279</v>
      </c>
      <c r="N1084" s="1">
        <v>1510</v>
      </c>
      <c r="O1084" s="1">
        <v>3290</v>
      </c>
      <c r="P1084" s="1">
        <v>1780</v>
      </c>
      <c r="Q1084" s="1" t="s">
        <v>42</v>
      </c>
      <c r="S1084" s="1" t="s">
        <v>42</v>
      </c>
      <c r="T1084" s="1" t="s">
        <v>153</v>
      </c>
      <c r="AA1084" s="1">
        <v>1873580</v>
      </c>
      <c r="AB1084" s="1" t="s">
        <v>914</v>
      </c>
      <c r="AC1084" s="5">
        <v>41962</v>
      </c>
      <c r="AF1084" s="1">
        <v>10013</v>
      </c>
      <c r="AI1084" s="1" t="s">
        <v>55</v>
      </c>
      <c r="AJ1084" s="1">
        <v>2014</v>
      </c>
      <c r="AK1084" s="1" t="s">
        <v>49</v>
      </c>
      <c r="AL1084" s="1">
        <v>66</v>
      </c>
    </row>
    <row r="1085" spans="1:38" x14ac:dyDescent="0.2">
      <c r="A1085" s="2" t="str">
        <f>HYPERLINK("https://www.compass.com/listing/101-leonard-street-unit-11f-manhattan-ny-10013/276883822572825137/","101 Leonard St, Unit 11F")</f>
        <v>101 Leonard St, Unit 11F</v>
      </c>
      <c r="B1085" s="2" t="str">
        <f t="shared" si="153"/>
        <v>The Leonard</v>
      </c>
      <c r="C1085" s="1" t="s">
        <v>77</v>
      </c>
      <c r="D1085" s="1" t="s">
        <v>41</v>
      </c>
      <c r="E1085" s="3">
        <v>1751425</v>
      </c>
      <c r="F1085" s="1">
        <v>1543.10572687224</v>
      </c>
      <c r="H1085" s="1">
        <v>2</v>
      </c>
      <c r="J1085" s="1">
        <v>2</v>
      </c>
      <c r="K1085" s="1">
        <v>2</v>
      </c>
      <c r="M1085" s="4">
        <v>1135</v>
      </c>
      <c r="N1085" s="1">
        <v>2095</v>
      </c>
      <c r="O1085" s="1">
        <v>4197.8099999999904</v>
      </c>
      <c r="P1085" s="1">
        <v>2102.8333333333298</v>
      </c>
      <c r="Q1085" s="1" t="s">
        <v>42</v>
      </c>
      <c r="S1085" s="1" t="s">
        <v>42</v>
      </c>
      <c r="T1085" s="1" t="s">
        <v>153</v>
      </c>
      <c r="AA1085" s="1">
        <v>1751425</v>
      </c>
      <c r="AB1085" s="1" t="s">
        <v>915</v>
      </c>
      <c r="AC1085" s="5">
        <v>41976</v>
      </c>
      <c r="AF1085" s="1">
        <v>10013</v>
      </c>
      <c r="AI1085" s="1" t="s">
        <v>55</v>
      </c>
      <c r="AJ1085" s="1">
        <v>2014</v>
      </c>
      <c r="AK1085" s="1" t="s">
        <v>49</v>
      </c>
      <c r="AL1085" s="1">
        <v>66</v>
      </c>
    </row>
    <row r="1086" spans="1:38" x14ac:dyDescent="0.2">
      <c r="A1086" s="2" t="str">
        <f>HYPERLINK("https://www.compass.com/listing/101-leonard-street-unit-3d-manhattan-ny-10013/483738593865766113/","101 Leonard St, Unit 3D")</f>
        <v>101 Leonard St, Unit 3D</v>
      </c>
      <c r="B1086" s="2" t="str">
        <f t="shared" si="153"/>
        <v>The Leonard</v>
      </c>
      <c r="C1086" s="1" t="s">
        <v>65</v>
      </c>
      <c r="D1086" s="1" t="s">
        <v>41</v>
      </c>
      <c r="E1086" s="3">
        <v>1812000</v>
      </c>
      <c r="F1086" s="1">
        <v>1200</v>
      </c>
      <c r="H1086" s="1">
        <v>2</v>
      </c>
      <c r="J1086" s="1">
        <v>2</v>
      </c>
      <c r="M1086" s="4">
        <v>1510</v>
      </c>
      <c r="N1086" s="1">
        <v>1678</v>
      </c>
      <c r="O1086" s="1">
        <v>3893</v>
      </c>
      <c r="P1086" s="1">
        <v>2215</v>
      </c>
      <c r="Q1086" s="1" t="s">
        <v>42</v>
      </c>
      <c r="S1086" s="1" t="s">
        <v>42</v>
      </c>
      <c r="T1086" s="1" t="s">
        <v>153</v>
      </c>
      <c r="AA1086" s="1">
        <v>1812000</v>
      </c>
      <c r="AB1086" s="1" t="s">
        <v>916</v>
      </c>
      <c r="AC1086" s="5">
        <v>42405</v>
      </c>
      <c r="AF1086" s="1">
        <v>10013</v>
      </c>
      <c r="AI1086" s="1" t="s">
        <v>55</v>
      </c>
      <c r="AJ1086" s="1">
        <v>2014</v>
      </c>
      <c r="AK1086" s="1" t="s">
        <v>49</v>
      </c>
      <c r="AL1086" s="1">
        <v>66</v>
      </c>
    </row>
    <row r="1087" spans="1:38" x14ac:dyDescent="0.2">
      <c r="A1087" s="2" t="str">
        <f>HYPERLINK("https://www.compass.com/listing/101-leonard-street-unit-4f-manhattan-ny-10013/841624701410894473/","101 Leonard St, Unit 4F")</f>
        <v>101 Leonard St, Unit 4F</v>
      </c>
      <c r="B1087" s="2" t="str">
        <f t="shared" si="153"/>
        <v>The Leonard</v>
      </c>
      <c r="C1087" s="1" t="s">
        <v>65</v>
      </c>
      <c r="D1087" s="1" t="s">
        <v>41</v>
      </c>
      <c r="E1087" s="3">
        <v>2026318</v>
      </c>
      <c r="F1087" s="1">
        <v>1589.2686274509799</v>
      </c>
      <c r="G1087" s="1">
        <v>5</v>
      </c>
      <c r="H1087" s="1">
        <v>2</v>
      </c>
      <c r="I1087" s="1">
        <v>2</v>
      </c>
      <c r="J1087" s="1">
        <v>2</v>
      </c>
      <c r="M1087" s="4">
        <v>1275</v>
      </c>
      <c r="Q1087" s="1" t="s">
        <v>42</v>
      </c>
      <c r="S1087" s="1" t="s">
        <v>42</v>
      </c>
      <c r="T1087" s="1" t="s">
        <v>153</v>
      </c>
      <c r="U1087" s="1">
        <v>33</v>
      </c>
      <c r="V1087" s="5">
        <v>42830</v>
      </c>
      <c r="W1087" s="5">
        <v>41473</v>
      </c>
      <c r="X1087" s="1">
        <v>1990000</v>
      </c>
      <c r="Y1087" s="1">
        <v>1990000</v>
      </c>
      <c r="Z1087" s="5">
        <v>41506</v>
      </c>
      <c r="AA1087" s="1">
        <v>2026317.5</v>
      </c>
      <c r="AB1087" s="1" t="s">
        <v>917</v>
      </c>
      <c r="AC1087" s="5">
        <v>42038</v>
      </c>
      <c r="AF1087" s="1">
        <v>10013</v>
      </c>
      <c r="AI1087" s="1" t="s">
        <v>55</v>
      </c>
      <c r="AJ1087" s="1">
        <v>2014</v>
      </c>
      <c r="AK1087" s="1" t="s">
        <v>46</v>
      </c>
      <c r="AL1087" s="1">
        <v>66</v>
      </c>
    </row>
    <row r="1088" spans="1:38" x14ac:dyDescent="0.2">
      <c r="A1088" s="2" t="str">
        <f>HYPERLINK("https://www.compass.com/listing/101-leonard-street-unit-6b-manhattan-ny-10013/276883793086804225/","101 Leonard St, Unit 6B")</f>
        <v>101 Leonard St, Unit 6B</v>
      </c>
      <c r="B1088" s="2" t="str">
        <f t="shared" si="153"/>
        <v>The Leonard</v>
      </c>
      <c r="C1088" s="1" t="s">
        <v>77</v>
      </c>
      <c r="D1088" s="1" t="s">
        <v>41</v>
      </c>
      <c r="E1088" s="3">
        <v>2217749</v>
      </c>
      <c r="F1088" s="1">
        <v>1221.9000000000001</v>
      </c>
      <c r="H1088" s="1">
        <v>3</v>
      </c>
      <c r="J1088" s="1">
        <v>3.5</v>
      </c>
      <c r="K1088" s="1">
        <v>3</v>
      </c>
      <c r="L1088" s="1">
        <v>1</v>
      </c>
      <c r="M1088" s="4">
        <v>1815</v>
      </c>
      <c r="N1088" s="1">
        <v>2139.0500000000002</v>
      </c>
      <c r="O1088" s="1">
        <v>5196.1899999999996</v>
      </c>
      <c r="P1088" s="1">
        <v>3057.1666666666601</v>
      </c>
      <c r="Q1088" s="1" t="s">
        <v>42</v>
      </c>
      <c r="S1088" s="1" t="s">
        <v>42</v>
      </c>
      <c r="T1088" s="1" t="s">
        <v>153</v>
      </c>
      <c r="AA1088" s="1">
        <v>2217748.5</v>
      </c>
      <c r="AB1088" s="1" t="s">
        <v>918</v>
      </c>
      <c r="AC1088" s="5">
        <v>42165</v>
      </c>
      <c r="AF1088" s="1">
        <v>10013</v>
      </c>
      <c r="AI1088" s="1" t="s">
        <v>55</v>
      </c>
      <c r="AJ1088" s="1">
        <v>2014</v>
      </c>
      <c r="AK1088" s="1" t="s">
        <v>49</v>
      </c>
      <c r="AL1088" s="1">
        <v>66</v>
      </c>
    </row>
    <row r="1089" spans="1:38" x14ac:dyDescent="0.2">
      <c r="A1089" s="2" t="str">
        <f>HYPERLINK("https://www.compass.com/listing/101-leonard-street-unit-10b-manhattan-ny-10013/276883816650459345/","101 Leonard St, Unit 10B")</f>
        <v>101 Leonard St, Unit 10B</v>
      </c>
      <c r="B1089" s="2" t="str">
        <f t="shared" si="153"/>
        <v>The Leonard</v>
      </c>
      <c r="C1089" s="1" t="s">
        <v>77</v>
      </c>
      <c r="D1089" s="1" t="s">
        <v>41</v>
      </c>
      <c r="E1089" s="3">
        <v>2851100</v>
      </c>
      <c r="F1089" s="1">
        <v>1570.85399449035</v>
      </c>
      <c r="H1089" s="1">
        <v>3</v>
      </c>
      <c r="J1089" s="1">
        <v>3.5</v>
      </c>
      <c r="K1089" s="1">
        <v>3</v>
      </c>
      <c r="L1089" s="1">
        <v>1</v>
      </c>
      <c r="M1089" s="4">
        <v>1815</v>
      </c>
      <c r="N1089" s="1">
        <v>2437</v>
      </c>
      <c r="O1089" s="1">
        <v>5484</v>
      </c>
      <c r="P1089" s="1">
        <v>3047</v>
      </c>
      <c r="Q1089" s="1" t="s">
        <v>42</v>
      </c>
      <c r="S1089" s="1" t="s">
        <v>42</v>
      </c>
      <c r="T1089" s="1" t="s">
        <v>153</v>
      </c>
      <c r="AA1089" s="1">
        <v>2851100</v>
      </c>
      <c r="AB1089" s="1" t="s">
        <v>919</v>
      </c>
      <c r="AC1089" s="5">
        <v>41989</v>
      </c>
      <c r="AF1089" s="1">
        <v>10013</v>
      </c>
      <c r="AI1089" s="1" t="s">
        <v>55</v>
      </c>
      <c r="AJ1089" s="1">
        <v>2014</v>
      </c>
      <c r="AK1089" s="1" t="s">
        <v>49</v>
      </c>
      <c r="AL1089" s="1">
        <v>66</v>
      </c>
    </row>
    <row r="1090" spans="1:38" x14ac:dyDescent="0.2">
      <c r="A1090" s="2" t="str">
        <f>HYPERLINK("https://www.compass.com/listing/101-leonard-street-unit-8b-manhattan-ny-10013/29358431353735153/","101 Leonard St, Unit 8B")</f>
        <v>101 Leonard St, Unit 8B</v>
      </c>
      <c r="B1090" s="2" t="str">
        <f t="shared" si="153"/>
        <v>The Leonard</v>
      </c>
      <c r="C1090" s="1" t="s">
        <v>77</v>
      </c>
      <c r="D1090" s="1" t="s">
        <v>41</v>
      </c>
      <c r="E1090" s="3">
        <v>2987725</v>
      </c>
      <c r="F1090" s="1">
        <v>1646.12947658402</v>
      </c>
      <c r="H1090" s="1">
        <v>3</v>
      </c>
      <c r="J1090" s="1">
        <v>3.5</v>
      </c>
      <c r="K1090" s="1">
        <v>3</v>
      </c>
      <c r="L1090" s="1">
        <v>1</v>
      </c>
      <c r="M1090" s="4">
        <v>1815</v>
      </c>
      <c r="N1090" s="1">
        <v>2439</v>
      </c>
      <c r="O1090" s="1">
        <v>5753</v>
      </c>
      <c r="P1090" s="1">
        <v>3314</v>
      </c>
      <c r="Q1090" s="1" t="s">
        <v>42</v>
      </c>
      <c r="S1090" s="1" t="s">
        <v>42</v>
      </c>
      <c r="T1090" s="1" t="s">
        <v>153</v>
      </c>
      <c r="AA1090" s="1">
        <v>2987725</v>
      </c>
      <c r="AB1090" s="1" t="s">
        <v>920</v>
      </c>
      <c r="AC1090" s="5">
        <v>41976</v>
      </c>
      <c r="AF1090" s="1">
        <v>10013</v>
      </c>
      <c r="AI1090" s="1" t="s">
        <v>55</v>
      </c>
      <c r="AJ1090" s="1">
        <v>2014</v>
      </c>
      <c r="AK1090" s="1" t="s">
        <v>49</v>
      </c>
      <c r="AL1090" s="1">
        <v>66</v>
      </c>
    </row>
    <row r="1091" spans="1:38" x14ac:dyDescent="0.2">
      <c r="A1091" s="2" t="str">
        <f>HYPERLINK("https://www.compass.com/listing/101-leonard-street-unit-5d-manhattan-ny-10013/841195412585055137/","101 Leonard St, Unit 5D")</f>
        <v>101 Leonard St, Unit 5D</v>
      </c>
      <c r="B1091" s="2" t="str">
        <f t="shared" si="153"/>
        <v>The Leonard</v>
      </c>
      <c r="C1091" s="1" t="s">
        <v>65</v>
      </c>
      <c r="D1091" s="1" t="s">
        <v>41</v>
      </c>
      <c r="E1091" s="3">
        <v>2545625</v>
      </c>
      <c r="F1091" s="1">
        <v>1685.84437086092</v>
      </c>
      <c r="G1091" s="1">
        <v>5</v>
      </c>
      <c r="H1091" s="1">
        <v>2</v>
      </c>
      <c r="I1091" s="1">
        <v>2</v>
      </c>
      <c r="J1091" s="1">
        <v>2</v>
      </c>
      <c r="M1091" s="4">
        <v>1510</v>
      </c>
      <c r="Q1091" s="1" t="s">
        <v>42</v>
      </c>
      <c r="S1091" s="1" t="s">
        <v>42</v>
      </c>
      <c r="T1091" s="1" t="s">
        <v>153</v>
      </c>
      <c r="V1091" s="5">
        <v>42874</v>
      </c>
      <c r="Y1091" s="1">
        <v>2500000</v>
      </c>
      <c r="Z1091" s="5">
        <v>41491</v>
      </c>
      <c r="AA1091" s="1">
        <v>2545625</v>
      </c>
      <c r="AB1091" s="1" t="s">
        <v>921</v>
      </c>
      <c r="AC1091" s="5">
        <v>42002</v>
      </c>
      <c r="AF1091" s="1">
        <v>10013</v>
      </c>
      <c r="AI1091" s="1" t="s">
        <v>55</v>
      </c>
      <c r="AJ1091" s="1">
        <v>2014</v>
      </c>
      <c r="AK1091" s="1" t="s">
        <v>46</v>
      </c>
      <c r="AL1091" s="1">
        <v>66</v>
      </c>
    </row>
    <row r="1092" spans="1:38" x14ac:dyDescent="0.2">
      <c r="A1092" s="2" t="str">
        <f>HYPERLINK("https://www.compass.com/listing/21-east-61st-street-unit-4f-manhattan-ny-10065/278794562204452161/","21 E 61st St, Unit 4F")</f>
        <v>21 E 61st St, Unit 4F</v>
      </c>
      <c r="B1092" s="2" t="str">
        <f t="shared" ref="B1092:B1113" si="154">HYPERLINK("https://www.compass.com/building/the-carlton-house-manhattan-ny/292926373863910149/","The Carlton House")</f>
        <v>The Carlton House</v>
      </c>
      <c r="C1092" s="1" t="s">
        <v>98</v>
      </c>
      <c r="D1092" s="1" t="s">
        <v>41</v>
      </c>
      <c r="E1092" s="3">
        <v>3276924</v>
      </c>
      <c r="F1092" s="1">
        <v>2746.79274937133</v>
      </c>
      <c r="G1092" s="1">
        <v>4</v>
      </c>
      <c r="H1092" s="1">
        <v>2</v>
      </c>
      <c r="I1092" s="1">
        <v>2</v>
      </c>
      <c r="J1092" s="1">
        <v>2</v>
      </c>
      <c r="M1092" s="4">
        <v>1193</v>
      </c>
      <c r="N1092" s="1">
        <v>3657</v>
      </c>
      <c r="O1092" s="1">
        <v>3657</v>
      </c>
      <c r="Q1092" s="1" t="s">
        <v>836</v>
      </c>
      <c r="S1092" s="1" t="s">
        <v>836</v>
      </c>
      <c r="T1092" s="1" t="s">
        <v>153</v>
      </c>
      <c r="V1092" s="5">
        <v>41640</v>
      </c>
      <c r="Y1092" s="1">
        <v>3200000</v>
      </c>
      <c r="Z1092" s="5">
        <v>42105</v>
      </c>
      <c r="AA1092" s="1">
        <v>3276923.75</v>
      </c>
      <c r="AB1092" s="1" t="s">
        <v>922</v>
      </c>
      <c r="AC1092" s="5">
        <v>42157</v>
      </c>
      <c r="AF1092" s="1">
        <v>10065</v>
      </c>
      <c r="AJ1092" s="1">
        <v>1951</v>
      </c>
      <c r="AK1092" s="1" t="s">
        <v>99</v>
      </c>
      <c r="AL1092" s="1">
        <v>68</v>
      </c>
    </row>
    <row r="1093" spans="1:38" x14ac:dyDescent="0.2">
      <c r="A1093" s="2" t="str">
        <f>HYPERLINK("https://www.compass.com/listing/21-east-61st-street-unit-5f-manhattan-ny-10065/29410731245989697/","21 E 61st St, Unit 5F")</f>
        <v>21 E 61st St, Unit 5F</v>
      </c>
      <c r="B1093" s="2" t="str">
        <f t="shared" si="154"/>
        <v>The Carlton House</v>
      </c>
      <c r="C1093" s="1" t="s">
        <v>98</v>
      </c>
      <c r="D1093" s="1" t="s">
        <v>41</v>
      </c>
      <c r="E1093" s="3">
        <v>3261650</v>
      </c>
      <c r="F1093" s="1">
        <v>2733.9899413243902</v>
      </c>
      <c r="G1093" s="1">
        <v>4</v>
      </c>
      <c r="H1093" s="1">
        <v>2</v>
      </c>
      <c r="I1093" s="1">
        <v>2</v>
      </c>
      <c r="J1093" s="1">
        <v>2</v>
      </c>
      <c r="M1093" s="4">
        <v>1193</v>
      </c>
      <c r="N1093" s="1">
        <v>3766</v>
      </c>
      <c r="O1093" s="1">
        <v>3766</v>
      </c>
      <c r="Q1093" s="1" t="s">
        <v>836</v>
      </c>
      <c r="S1093" s="1" t="s">
        <v>836</v>
      </c>
      <c r="T1093" s="1" t="s">
        <v>153</v>
      </c>
      <c r="V1093" s="5">
        <v>41640</v>
      </c>
      <c r="Y1093" s="1">
        <v>3200000</v>
      </c>
      <c r="Z1093" s="5">
        <v>42105</v>
      </c>
      <c r="AA1093" s="1">
        <v>3261650</v>
      </c>
      <c r="AB1093" s="1" t="s">
        <v>923</v>
      </c>
      <c r="AC1093" s="5">
        <v>42012</v>
      </c>
      <c r="AF1093" s="1">
        <v>10065</v>
      </c>
      <c r="AJ1093" s="1">
        <v>1951</v>
      </c>
      <c r="AK1093" s="1" t="s">
        <v>99</v>
      </c>
      <c r="AL1093" s="1">
        <v>68</v>
      </c>
    </row>
    <row r="1094" spans="1:38" x14ac:dyDescent="0.2">
      <c r="A1094" s="2" t="str">
        <f>HYPERLINK("https://www.compass.com/listing/21-east-61st-street-unit-10d-manhattan-ny-10065/29410724770064193/","21 E 61st St, Unit 10D")</f>
        <v>21 E 61st St, Unit 10D</v>
      </c>
      <c r="B1094" s="2" t="str">
        <f t="shared" si="154"/>
        <v>The Carlton House</v>
      </c>
      <c r="C1094" s="1" t="s">
        <v>98</v>
      </c>
      <c r="D1094" s="1" t="s">
        <v>41</v>
      </c>
      <c r="E1094" s="3">
        <v>4300000</v>
      </c>
      <c r="F1094" s="1">
        <v>3011.2044817927099</v>
      </c>
      <c r="G1094" s="1">
        <v>4.5</v>
      </c>
      <c r="H1094" s="1">
        <v>2</v>
      </c>
      <c r="I1094" s="1">
        <v>3</v>
      </c>
      <c r="J1094" s="1">
        <v>2.5</v>
      </c>
      <c r="M1094" s="4">
        <v>1428</v>
      </c>
      <c r="N1094" s="1">
        <v>4610</v>
      </c>
      <c r="O1094" s="1">
        <v>4610</v>
      </c>
      <c r="Q1094" s="1" t="s">
        <v>836</v>
      </c>
      <c r="S1094" s="1" t="s">
        <v>836</v>
      </c>
      <c r="T1094" s="1" t="s">
        <v>153</v>
      </c>
      <c r="U1094" s="1">
        <v>239</v>
      </c>
      <c r="V1094" s="5">
        <v>43675</v>
      </c>
      <c r="W1094" s="5">
        <v>42304</v>
      </c>
      <c r="X1094" s="1">
        <v>5395000</v>
      </c>
      <c r="Y1094" s="1">
        <v>4450000</v>
      </c>
      <c r="Z1094" s="5">
        <v>42543</v>
      </c>
      <c r="AA1094" s="1">
        <v>4300000</v>
      </c>
      <c r="AB1094" s="1" t="s">
        <v>924</v>
      </c>
      <c r="AC1094" s="5">
        <v>42565</v>
      </c>
      <c r="AF1094" s="1">
        <v>10065</v>
      </c>
      <c r="AJ1094" s="1">
        <v>1951</v>
      </c>
      <c r="AK1094" s="1" t="s">
        <v>49</v>
      </c>
      <c r="AL1094" s="1">
        <v>68</v>
      </c>
    </row>
    <row r="1095" spans="1:38" x14ac:dyDescent="0.2">
      <c r="A1095" s="2" t="str">
        <f>HYPERLINK("https://www.compass.com/listing/21-east-61st-street-unit-6d-manhattan-ny-10065/29410726279933665/","21 E 61st St, Unit 6D")</f>
        <v>21 E 61st St, Unit 6D</v>
      </c>
      <c r="B1095" s="2" t="str">
        <f t="shared" si="154"/>
        <v>The Carlton House</v>
      </c>
      <c r="C1095" s="1" t="s">
        <v>98</v>
      </c>
      <c r="D1095" s="1" t="s">
        <v>41</v>
      </c>
      <c r="E1095" s="3">
        <v>4534463</v>
      </c>
      <c r="F1095" s="1">
        <v>3175.3939075630201</v>
      </c>
      <c r="G1095" s="1">
        <v>4.5</v>
      </c>
      <c r="H1095" s="1">
        <v>2</v>
      </c>
      <c r="I1095" s="1">
        <v>3</v>
      </c>
      <c r="J1095" s="1">
        <v>2.5</v>
      </c>
      <c r="M1095" s="4">
        <v>1428</v>
      </c>
      <c r="N1095" s="1">
        <v>4476</v>
      </c>
      <c r="O1095" s="1">
        <v>4476</v>
      </c>
      <c r="Q1095" s="1" t="s">
        <v>836</v>
      </c>
      <c r="S1095" s="1" t="s">
        <v>836</v>
      </c>
      <c r="T1095" s="1" t="s">
        <v>153</v>
      </c>
      <c r="V1095" s="5">
        <v>41640</v>
      </c>
      <c r="Y1095" s="1">
        <v>4450000</v>
      </c>
      <c r="Z1095" s="5">
        <v>42105</v>
      </c>
      <c r="AA1095" s="1">
        <v>4534462.5</v>
      </c>
      <c r="AB1095" s="1" t="s">
        <v>925</v>
      </c>
      <c r="AC1095" s="5">
        <v>41975</v>
      </c>
      <c r="AF1095" s="1">
        <v>10065</v>
      </c>
      <c r="AJ1095" s="1">
        <v>1951</v>
      </c>
      <c r="AK1095" s="1" t="s">
        <v>99</v>
      </c>
      <c r="AL1095" s="1">
        <v>68</v>
      </c>
    </row>
    <row r="1096" spans="1:38" x14ac:dyDescent="0.2">
      <c r="A1096" s="2" t="str">
        <f>HYPERLINK("https://www.compass.com/listing/21-east-61st-street-unit-9d-manhattan-ny-10065/29410711440485793/","21 E 61st St, Unit 9D")</f>
        <v>21 E 61st St, Unit 9D</v>
      </c>
      <c r="B1096" s="2" t="str">
        <f t="shared" si="154"/>
        <v>The Carlton House</v>
      </c>
      <c r="C1096" s="1" t="s">
        <v>98</v>
      </c>
      <c r="D1096" s="1" t="s">
        <v>41</v>
      </c>
      <c r="E1096" s="3">
        <v>4839938</v>
      </c>
      <c r="F1096" s="1">
        <v>3389.31197478991</v>
      </c>
      <c r="G1096" s="1">
        <v>4.5</v>
      </c>
      <c r="H1096" s="1">
        <v>2</v>
      </c>
      <c r="I1096" s="1">
        <v>3</v>
      </c>
      <c r="J1096" s="1">
        <v>2.5</v>
      </c>
      <c r="M1096" s="4">
        <v>1428</v>
      </c>
      <c r="N1096" s="1">
        <v>4530</v>
      </c>
      <c r="O1096" s="1">
        <v>4530</v>
      </c>
      <c r="Q1096" s="1" t="s">
        <v>836</v>
      </c>
      <c r="S1096" s="1" t="s">
        <v>836</v>
      </c>
      <c r="T1096" s="1" t="s">
        <v>153</v>
      </c>
      <c r="V1096" s="5">
        <v>41640</v>
      </c>
      <c r="Y1096" s="1">
        <v>4750000</v>
      </c>
      <c r="Z1096" s="5">
        <v>42105</v>
      </c>
      <c r="AA1096" s="1">
        <v>4839937.5</v>
      </c>
      <c r="AB1096" s="1" t="s">
        <v>926</v>
      </c>
      <c r="AC1096" s="5">
        <v>42136</v>
      </c>
      <c r="AF1096" s="1">
        <v>10065</v>
      </c>
      <c r="AJ1096" s="1">
        <v>1951</v>
      </c>
      <c r="AK1096" s="1" t="s">
        <v>99</v>
      </c>
      <c r="AL1096" s="1">
        <v>68</v>
      </c>
    </row>
    <row r="1097" spans="1:38" x14ac:dyDescent="0.2">
      <c r="A1097" s="2" t="str">
        <f>HYPERLINK("https://www.compass.com/listing/21-east-61st-street-unit-9c-manhattan-ny-10065/50843388118857313/","21 E 61st St, Unit 9C")</f>
        <v>21 E 61st St, Unit 9C</v>
      </c>
      <c r="B1097" s="2" t="str">
        <f t="shared" si="154"/>
        <v>The Carlton House</v>
      </c>
      <c r="C1097" s="1" t="s">
        <v>98</v>
      </c>
      <c r="D1097" s="1" t="s">
        <v>41</v>
      </c>
      <c r="E1097" s="3">
        <v>5013040</v>
      </c>
      <c r="F1097" s="1">
        <v>3495.8437935843699</v>
      </c>
      <c r="G1097" s="1">
        <v>4.5</v>
      </c>
      <c r="H1097" s="1">
        <v>2</v>
      </c>
      <c r="I1097" s="1">
        <v>3</v>
      </c>
      <c r="J1097" s="1">
        <v>2.5</v>
      </c>
      <c r="M1097" s="4">
        <v>1434</v>
      </c>
      <c r="N1097" s="1">
        <v>4530</v>
      </c>
      <c r="O1097" s="1">
        <v>4530</v>
      </c>
      <c r="Q1097" s="1" t="s">
        <v>836</v>
      </c>
      <c r="S1097" s="1" t="s">
        <v>836</v>
      </c>
      <c r="T1097" s="1" t="s">
        <v>153</v>
      </c>
      <c r="V1097" s="5">
        <v>41640</v>
      </c>
      <c r="Y1097" s="1">
        <v>4850000</v>
      </c>
      <c r="Z1097" s="5">
        <v>42105</v>
      </c>
      <c r="AA1097" s="1">
        <v>5013040</v>
      </c>
      <c r="AB1097" s="1" t="s">
        <v>927</v>
      </c>
      <c r="AC1097" s="5">
        <v>42055</v>
      </c>
      <c r="AF1097" s="1">
        <v>10065</v>
      </c>
      <c r="AJ1097" s="1">
        <v>1951</v>
      </c>
      <c r="AK1097" s="1" t="s">
        <v>46</v>
      </c>
      <c r="AL1097" s="1">
        <v>68</v>
      </c>
    </row>
    <row r="1098" spans="1:38" x14ac:dyDescent="0.2">
      <c r="A1098" s="2" t="str">
        <f>HYPERLINK("https://www.compass.com/listing/21-east-61st-street-unit-4c-manhattan-ny-10065/213488974625336817/","21 E 61st St, Unit 4C")</f>
        <v>21 E 61st St, Unit 4C</v>
      </c>
      <c r="B1098" s="2" t="str">
        <f t="shared" si="154"/>
        <v>The Carlton House</v>
      </c>
      <c r="C1098" s="1" t="s">
        <v>98</v>
      </c>
      <c r="D1098" s="1" t="s">
        <v>41</v>
      </c>
      <c r="E1098" s="3">
        <v>4432638</v>
      </c>
      <c r="F1098" s="1">
        <v>3091.100069735</v>
      </c>
      <c r="H1098" s="1">
        <v>2</v>
      </c>
      <c r="J1098" s="1">
        <v>2</v>
      </c>
      <c r="K1098" s="1">
        <v>2</v>
      </c>
      <c r="M1098" s="4">
        <v>1434</v>
      </c>
      <c r="N1098" s="1">
        <v>4500</v>
      </c>
      <c r="O1098" s="1">
        <v>4500</v>
      </c>
      <c r="Q1098" s="1" t="s">
        <v>117</v>
      </c>
      <c r="S1098" s="1" t="s">
        <v>117</v>
      </c>
      <c r="T1098" s="1" t="s">
        <v>153</v>
      </c>
      <c r="AA1098" s="1">
        <v>4432637.5</v>
      </c>
      <c r="AB1098" s="1" t="s">
        <v>928</v>
      </c>
      <c r="AC1098" s="5">
        <v>42157</v>
      </c>
      <c r="AF1098" s="1">
        <v>10065</v>
      </c>
      <c r="AJ1098" s="1">
        <v>1951</v>
      </c>
      <c r="AK1098" s="1" t="s">
        <v>99</v>
      </c>
      <c r="AL1098" s="1">
        <v>68</v>
      </c>
    </row>
    <row r="1099" spans="1:38" x14ac:dyDescent="0.2">
      <c r="A1099" s="2" t="str">
        <f>HYPERLINK("https://www.compass.com/listing/21-east-61st-street-unit-7c-manhattan-ny-10065/29410708705795585/","21 E 61st St, Unit 7C")</f>
        <v>21 E 61st St, Unit 7C</v>
      </c>
      <c r="B1099" s="2" t="str">
        <f t="shared" si="154"/>
        <v>The Carlton House</v>
      </c>
      <c r="C1099" s="1" t="s">
        <v>98</v>
      </c>
      <c r="D1099" s="1" t="s">
        <v>41</v>
      </c>
      <c r="E1099" s="3">
        <v>4636288</v>
      </c>
      <c r="F1099" s="1">
        <v>3233.1154114365399</v>
      </c>
      <c r="G1099" s="1">
        <v>4.5</v>
      </c>
      <c r="H1099" s="1">
        <v>2</v>
      </c>
      <c r="I1099" s="1">
        <v>3</v>
      </c>
      <c r="J1099" s="1">
        <v>2.5</v>
      </c>
      <c r="M1099" s="4">
        <v>1434</v>
      </c>
      <c r="N1099" s="1">
        <v>4530</v>
      </c>
      <c r="O1099" s="1">
        <v>4530</v>
      </c>
      <c r="Q1099" s="1" t="s">
        <v>836</v>
      </c>
      <c r="S1099" s="1" t="s">
        <v>836</v>
      </c>
      <c r="T1099" s="1" t="s">
        <v>153</v>
      </c>
      <c r="V1099" s="5">
        <v>41640</v>
      </c>
      <c r="Y1099" s="1">
        <v>4550000</v>
      </c>
      <c r="Z1099" s="5">
        <v>42105</v>
      </c>
      <c r="AA1099" s="1">
        <v>4636287.5</v>
      </c>
      <c r="AB1099" s="1" t="s">
        <v>929</v>
      </c>
      <c r="AC1099" s="5">
        <v>41978</v>
      </c>
      <c r="AF1099" s="1">
        <v>10065</v>
      </c>
      <c r="AJ1099" s="1">
        <v>1951</v>
      </c>
      <c r="AK1099" s="1" t="s">
        <v>99</v>
      </c>
      <c r="AL1099" s="1">
        <v>68</v>
      </c>
    </row>
    <row r="1100" spans="1:38" x14ac:dyDescent="0.2">
      <c r="A1100" s="2" t="str">
        <f>HYPERLINK("https://www.compass.com/listing/21-east-61st-street-unit-12d-manhattan-ny-10065/29410719116062305/","21 E 61st St, Unit 12D")</f>
        <v>21 E 61st St, Unit 12D</v>
      </c>
      <c r="B1100" s="2" t="str">
        <f t="shared" si="154"/>
        <v>The Carlton House</v>
      </c>
      <c r="C1100" s="1" t="s">
        <v>98</v>
      </c>
      <c r="D1100" s="1" t="s">
        <v>41</v>
      </c>
      <c r="E1100" s="3">
        <v>5000000</v>
      </c>
      <c r="F1100" s="1">
        <v>3742.5149700598799</v>
      </c>
      <c r="G1100" s="1">
        <v>4</v>
      </c>
      <c r="H1100" s="1">
        <v>2</v>
      </c>
      <c r="I1100" s="1">
        <v>2</v>
      </c>
      <c r="J1100" s="1">
        <v>2</v>
      </c>
      <c r="M1100" s="4">
        <v>1336</v>
      </c>
      <c r="N1100" s="1">
        <v>4257</v>
      </c>
      <c r="O1100" s="1">
        <v>4257</v>
      </c>
      <c r="Q1100" s="1" t="s">
        <v>836</v>
      </c>
      <c r="S1100" s="1" t="s">
        <v>836</v>
      </c>
      <c r="T1100" s="1" t="s">
        <v>153</v>
      </c>
      <c r="V1100" s="5">
        <v>41640</v>
      </c>
      <c r="Y1100" s="1">
        <v>5000000</v>
      </c>
      <c r="Z1100" s="5">
        <v>42105</v>
      </c>
      <c r="AA1100" s="1">
        <v>5000000</v>
      </c>
      <c r="AB1100" s="1" t="s">
        <v>930</v>
      </c>
      <c r="AC1100" s="5">
        <v>42278</v>
      </c>
      <c r="AF1100" s="1">
        <v>10065</v>
      </c>
      <c r="AI1100" s="1" t="s">
        <v>163</v>
      </c>
      <c r="AJ1100" s="1">
        <v>1951</v>
      </c>
      <c r="AK1100" s="1" t="s">
        <v>99</v>
      </c>
      <c r="AL1100" s="1">
        <v>68</v>
      </c>
    </row>
    <row r="1101" spans="1:38" x14ac:dyDescent="0.2">
      <c r="A1101" s="2" t="str">
        <f>HYPERLINK("https://www.compass.com/listing/21-east-61st-street-unit-10c-manhattan-ny-10065/29410719434825505/","21 E 61st St, Unit 10C")</f>
        <v>21 E 61st St, Unit 10C</v>
      </c>
      <c r="B1101" s="2" t="str">
        <f t="shared" si="154"/>
        <v>The Carlton House</v>
      </c>
      <c r="C1101" s="1" t="s">
        <v>98</v>
      </c>
      <c r="D1101" s="1" t="s">
        <v>41</v>
      </c>
      <c r="E1101" s="3">
        <v>4941763</v>
      </c>
      <c r="F1101" s="1">
        <v>3446.1384239888398</v>
      </c>
      <c r="G1101" s="1">
        <v>4.5</v>
      </c>
      <c r="H1101" s="1">
        <v>2</v>
      </c>
      <c r="I1101" s="1">
        <v>3</v>
      </c>
      <c r="J1101" s="1">
        <v>2.5</v>
      </c>
      <c r="M1101" s="4">
        <v>1434</v>
      </c>
      <c r="N1101" s="1">
        <v>4858</v>
      </c>
      <c r="O1101" s="1">
        <v>4858</v>
      </c>
      <c r="Q1101" s="1" t="s">
        <v>836</v>
      </c>
      <c r="S1101" s="1" t="s">
        <v>836</v>
      </c>
      <c r="T1101" s="1" t="s">
        <v>153</v>
      </c>
      <c r="V1101" s="5">
        <v>41640</v>
      </c>
      <c r="Y1101" s="1">
        <v>4850000</v>
      </c>
      <c r="Z1101" s="5">
        <v>42105</v>
      </c>
      <c r="AA1101" s="1">
        <v>4941762.5</v>
      </c>
      <c r="AB1101" s="1" t="s">
        <v>931</v>
      </c>
      <c r="AC1101" s="5">
        <v>42090</v>
      </c>
      <c r="AF1101" s="1">
        <v>10065</v>
      </c>
      <c r="AJ1101" s="1">
        <v>1951</v>
      </c>
      <c r="AK1101" s="1" t="s">
        <v>99</v>
      </c>
      <c r="AL1101" s="1">
        <v>68</v>
      </c>
    </row>
    <row r="1102" spans="1:38" x14ac:dyDescent="0.2">
      <c r="A1102" s="2" t="str">
        <f>HYPERLINK("https://www.compass.com/listing/21-east-61st-street-unit-11c-manhattan-ny-10065/29410720441458481/","21 E 61st St, Unit 11C")</f>
        <v>21 E 61st St, Unit 11C</v>
      </c>
      <c r="B1102" s="2" t="str">
        <f t="shared" si="154"/>
        <v>The Carlton House</v>
      </c>
      <c r="C1102" s="1" t="s">
        <v>98</v>
      </c>
      <c r="D1102" s="1" t="s">
        <v>41</v>
      </c>
      <c r="E1102" s="3">
        <v>5109774</v>
      </c>
      <c r="F1102" s="1">
        <v>3563.3010808926001</v>
      </c>
      <c r="G1102" s="1">
        <v>4</v>
      </c>
      <c r="H1102" s="1">
        <v>2</v>
      </c>
      <c r="I1102" s="1">
        <v>3</v>
      </c>
      <c r="J1102" s="1">
        <v>2.5</v>
      </c>
      <c r="M1102" s="4">
        <v>1434</v>
      </c>
      <c r="N1102" s="1">
        <v>4585</v>
      </c>
      <c r="O1102" s="1">
        <v>4585</v>
      </c>
      <c r="Q1102" s="1" t="s">
        <v>836</v>
      </c>
      <c r="S1102" s="1" t="s">
        <v>836</v>
      </c>
      <c r="T1102" s="1" t="s">
        <v>153</v>
      </c>
      <c r="V1102" s="5">
        <v>41640</v>
      </c>
      <c r="Y1102" s="1">
        <v>4950000</v>
      </c>
      <c r="Z1102" s="5">
        <v>42105</v>
      </c>
      <c r="AA1102" s="1">
        <v>5109773.75</v>
      </c>
      <c r="AB1102" s="1" t="s">
        <v>932</v>
      </c>
      <c r="AC1102" s="5">
        <v>42076</v>
      </c>
      <c r="AF1102" s="1">
        <v>10065</v>
      </c>
      <c r="AJ1102" s="1">
        <v>1951</v>
      </c>
      <c r="AK1102" s="1" t="s">
        <v>99</v>
      </c>
      <c r="AL1102" s="1">
        <v>68</v>
      </c>
    </row>
    <row r="1103" spans="1:38" x14ac:dyDescent="0.2">
      <c r="A1103" s="2" t="str">
        <f>HYPERLINK("https://www.compass.com/listing/21-east-61st-street-unit-8d-manhattan-ny-10065/29410727974512513/","21 E 61st St, Unit 8D")</f>
        <v>21 E 61st St, Unit 8D</v>
      </c>
      <c r="B1103" s="2" t="str">
        <f t="shared" si="154"/>
        <v>The Carlton House</v>
      </c>
      <c r="C1103" s="1" t="s">
        <v>98</v>
      </c>
      <c r="D1103" s="1" t="s">
        <v>41</v>
      </c>
      <c r="E1103" s="3">
        <v>5029332</v>
      </c>
      <c r="F1103" s="1">
        <v>3521.9411764705801</v>
      </c>
      <c r="H1103" s="1">
        <v>2</v>
      </c>
      <c r="J1103" s="1">
        <v>2.5</v>
      </c>
      <c r="K1103" s="1">
        <v>2</v>
      </c>
      <c r="L1103" s="1">
        <v>1</v>
      </c>
      <c r="M1103" s="4">
        <v>1428</v>
      </c>
      <c r="N1103" s="1">
        <v>4720</v>
      </c>
      <c r="O1103" s="1">
        <v>4720</v>
      </c>
      <c r="Q1103" s="1" t="s">
        <v>117</v>
      </c>
      <c r="S1103" s="1" t="s">
        <v>117</v>
      </c>
      <c r="T1103" s="1" t="s">
        <v>153</v>
      </c>
      <c r="AA1103" s="1">
        <v>5029332</v>
      </c>
      <c r="AB1103" s="1" t="s">
        <v>933</v>
      </c>
      <c r="AC1103" s="5">
        <v>41985</v>
      </c>
      <c r="AF1103" s="1">
        <v>10065</v>
      </c>
      <c r="AJ1103" s="1">
        <v>1951</v>
      </c>
      <c r="AK1103" s="1" t="s">
        <v>99</v>
      </c>
      <c r="AL1103" s="1">
        <v>68</v>
      </c>
    </row>
    <row r="1104" spans="1:38" x14ac:dyDescent="0.2">
      <c r="A1104" s="2" t="str">
        <f>HYPERLINK("https://www.compass.com/listing/21-east-61st-street-unit-3d-manhattan-ny-10065/841311418091740353/","21 E 61st St, Unit 3D")</f>
        <v>21 E 61st St, Unit 3D</v>
      </c>
      <c r="B1104" s="2" t="str">
        <f t="shared" si="154"/>
        <v>The Carlton House</v>
      </c>
      <c r="C1104" s="1" t="s">
        <v>98</v>
      </c>
      <c r="D1104" s="1" t="s">
        <v>41</v>
      </c>
      <c r="E1104" s="3">
        <v>4707565</v>
      </c>
      <c r="F1104" s="1">
        <v>3296.61414565826</v>
      </c>
      <c r="H1104" s="1">
        <v>2</v>
      </c>
      <c r="J1104" s="1">
        <v>2</v>
      </c>
      <c r="K1104" s="1">
        <v>2</v>
      </c>
      <c r="M1104" s="4">
        <v>1428</v>
      </c>
      <c r="N1104" s="1">
        <v>4445</v>
      </c>
      <c r="O1104" s="1">
        <v>4445</v>
      </c>
      <c r="Q1104" s="1" t="s">
        <v>117</v>
      </c>
      <c r="S1104" s="1" t="s">
        <v>117</v>
      </c>
      <c r="T1104" s="1" t="s">
        <v>153</v>
      </c>
      <c r="AA1104" s="1">
        <v>4707565</v>
      </c>
      <c r="AB1104" s="1" t="s">
        <v>934</v>
      </c>
      <c r="AC1104" s="5">
        <v>42167</v>
      </c>
      <c r="AF1104" s="1">
        <v>10065</v>
      </c>
      <c r="AJ1104" s="1">
        <v>1951</v>
      </c>
      <c r="AK1104" s="1" t="s">
        <v>99</v>
      </c>
      <c r="AL1104" s="1">
        <v>68</v>
      </c>
    </row>
    <row r="1105" spans="1:38" x14ac:dyDescent="0.2">
      <c r="A1105" s="2" t="str">
        <f>HYPERLINK("https://www.compass.com/listing/21-east-61st-street-unit-7a-manhattan-ny-10065/29410706155662657/","21 E 61st St, Unit 7A")</f>
        <v>21 E 61st St, Unit 7A</v>
      </c>
      <c r="B1105" s="2" t="str">
        <f t="shared" si="154"/>
        <v>The Carlton House</v>
      </c>
      <c r="C1105" s="1" t="s">
        <v>98</v>
      </c>
      <c r="D1105" s="1" t="s">
        <v>41</v>
      </c>
      <c r="E1105" s="3">
        <v>7538300</v>
      </c>
      <c r="F1105" s="1">
        <v>3085.67335243553</v>
      </c>
      <c r="G1105" s="1">
        <v>8.5</v>
      </c>
      <c r="H1105" s="1">
        <v>3</v>
      </c>
      <c r="I1105" s="1">
        <v>4</v>
      </c>
      <c r="J1105" s="1">
        <v>3.5</v>
      </c>
      <c r="M1105" s="4">
        <v>2443</v>
      </c>
      <c r="N1105" s="1">
        <v>7628</v>
      </c>
      <c r="O1105" s="1">
        <v>7628</v>
      </c>
      <c r="Q1105" s="1" t="s">
        <v>836</v>
      </c>
      <c r="S1105" s="1" t="s">
        <v>836</v>
      </c>
      <c r="T1105" s="1" t="s">
        <v>153</v>
      </c>
      <c r="U1105" s="1">
        <v>1123</v>
      </c>
      <c r="V1105" s="5">
        <v>41640</v>
      </c>
      <c r="W1105" s="5">
        <v>41382</v>
      </c>
      <c r="X1105" s="1">
        <v>8600000</v>
      </c>
      <c r="Y1105" s="1">
        <v>7950000</v>
      </c>
      <c r="AA1105" s="1">
        <v>7538300</v>
      </c>
      <c r="AB1105" s="1" t="s">
        <v>935</v>
      </c>
      <c r="AC1105" s="5">
        <v>42506</v>
      </c>
      <c r="AF1105" s="1">
        <v>10065</v>
      </c>
      <c r="AJ1105" s="1">
        <v>1951</v>
      </c>
      <c r="AK1105" s="1" t="s">
        <v>99</v>
      </c>
      <c r="AL1105" s="1">
        <v>68</v>
      </c>
    </row>
    <row r="1106" spans="1:38" x14ac:dyDescent="0.2">
      <c r="A1106" s="2" t="str">
        <f>HYPERLINK("https://www.compass.com/listing/21-east-61st-street-unit-7e-manhattan-ny-10065/29410709360110977/","21 E 61st St, Unit 7E")</f>
        <v>21 E 61st St, Unit 7E</v>
      </c>
      <c r="B1106" s="2" t="str">
        <f t="shared" si="154"/>
        <v>The Carlton House</v>
      </c>
      <c r="C1106" s="1" t="s">
        <v>98</v>
      </c>
      <c r="D1106" s="1" t="s">
        <v>41</v>
      </c>
      <c r="E1106" s="3">
        <v>8035000</v>
      </c>
      <c r="F1106" s="1">
        <v>3205.0259274032701</v>
      </c>
      <c r="G1106" s="1">
        <v>7.5</v>
      </c>
      <c r="H1106" s="1">
        <v>3</v>
      </c>
      <c r="I1106" s="1">
        <v>4</v>
      </c>
      <c r="J1106" s="1">
        <v>3.5</v>
      </c>
      <c r="M1106" s="4">
        <v>2507</v>
      </c>
      <c r="N1106" s="1">
        <v>8187</v>
      </c>
      <c r="O1106" s="1">
        <v>8187</v>
      </c>
      <c r="Q1106" s="1" t="s">
        <v>836</v>
      </c>
      <c r="S1106" s="1" t="s">
        <v>836</v>
      </c>
      <c r="T1106" s="1" t="s">
        <v>153</v>
      </c>
      <c r="U1106" s="1">
        <v>965</v>
      </c>
      <c r="V1106" s="5">
        <v>41640</v>
      </c>
      <c r="W1106" s="5">
        <v>41382</v>
      </c>
      <c r="X1106" s="1">
        <v>8700000</v>
      </c>
      <c r="Y1106" s="1">
        <v>8700000</v>
      </c>
      <c r="AA1106" s="1">
        <v>8035000</v>
      </c>
      <c r="AB1106" s="1" t="s">
        <v>936</v>
      </c>
      <c r="AC1106" s="5">
        <v>42348</v>
      </c>
      <c r="AF1106" s="1">
        <v>10065</v>
      </c>
      <c r="AI1106" s="1" t="s">
        <v>163</v>
      </c>
      <c r="AJ1106" s="1">
        <v>1951</v>
      </c>
      <c r="AK1106" s="1" t="s">
        <v>99</v>
      </c>
      <c r="AL1106" s="1">
        <v>68</v>
      </c>
    </row>
    <row r="1107" spans="1:38" x14ac:dyDescent="0.2">
      <c r="A1107" s="2" t="str">
        <f>HYPERLINK("https://www.compass.com/listing/21-east-61st-street-unit-8b-manhattan-ny-10065/29410723721488161/","21 E 61st St, Unit 8B")</f>
        <v>21 E 61st St, Unit 8B</v>
      </c>
      <c r="B1107" s="2" t="str">
        <f t="shared" si="154"/>
        <v>The Carlton House</v>
      </c>
      <c r="C1107" s="1" t="s">
        <v>98</v>
      </c>
      <c r="D1107" s="1" t="s">
        <v>41</v>
      </c>
      <c r="E1107" s="3">
        <v>8658375</v>
      </c>
      <c r="F1107" s="1">
        <v>3651.7819485449099</v>
      </c>
      <c r="G1107" s="1">
        <v>8</v>
      </c>
      <c r="H1107" s="1">
        <v>3</v>
      </c>
      <c r="I1107" s="1">
        <v>4</v>
      </c>
      <c r="J1107" s="1">
        <v>3.5</v>
      </c>
      <c r="M1107" s="4">
        <v>2371</v>
      </c>
      <c r="N1107" s="1">
        <v>7423</v>
      </c>
      <c r="O1107" s="1">
        <v>7423</v>
      </c>
      <c r="Q1107" s="1" t="s">
        <v>836</v>
      </c>
      <c r="S1107" s="1" t="s">
        <v>836</v>
      </c>
      <c r="T1107" s="1" t="s">
        <v>153</v>
      </c>
      <c r="U1107" s="1">
        <v>738</v>
      </c>
      <c r="V1107" s="5">
        <v>43654</v>
      </c>
      <c r="W1107" s="5">
        <v>41383</v>
      </c>
      <c r="X1107" s="1">
        <v>8600000</v>
      </c>
      <c r="Y1107" s="1">
        <v>8700000</v>
      </c>
      <c r="AA1107" s="1">
        <v>8658375</v>
      </c>
      <c r="AB1107" s="1" t="s">
        <v>937</v>
      </c>
      <c r="AC1107" s="5">
        <v>42121</v>
      </c>
      <c r="AF1107" s="1">
        <v>10065</v>
      </c>
      <c r="AJ1107" s="1">
        <v>1951</v>
      </c>
      <c r="AK1107" s="1" t="s">
        <v>99</v>
      </c>
      <c r="AL1107" s="1">
        <v>68</v>
      </c>
    </row>
    <row r="1108" spans="1:38" x14ac:dyDescent="0.2">
      <c r="A1108" s="2" t="str">
        <f>HYPERLINK("https://www.compass.com/listing/21-east-61st-street-unit-7f-manhattan-ny-10065/29410711750860353/","21 E 61st St, Unit 7F")</f>
        <v>21 E 61st St, Unit 7F</v>
      </c>
      <c r="B1108" s="2" t="str">
        <f t="shared" si="154"/>
        <v>The Carlton House</v>
      </c>
      <c r="C1108" s="1" t="s">
        <v>98</v>
      </c>
      <c r="D1108" s="1" t="s">
        <v>41</v>
      </c>
      <c r="E1108" s="3">
        <v>8627828</v>
      </c>
      <c r="F1108" s="1">
        <v>3658.9599236641202</v>
      </c>
      <c r="H1108" s="1">
        <v>3</v>
      </c>
      <c r="J1108" s="1">
        <v>3.5</v>
      </c>
      <c r="K1108" s="1">
        <v>3</v>
      </c>
      <c r="L1108" s="1">
        <v>1</v>
      </c>
      <c r="M1108" s="4">
        <v>2358</v>
      </c>
      <c r="N1108" s="1">
        <v>8798</v>
      </c>
      <c r="O1108" s="1">
        <v>8798</v>
      </c>
      <c r="Q1108" s="1" t="s">
        <v>117</v>
      </c>
      <c r="S1108" s="1" t="s">
        <v>117</v>
      </c>
      <c r="T1108" s="1" t="s">
        <v>153</v>
      </c>
      <c r="AA1108" s="1">
        <v>8627827.5</v>
      </c>
      <c r="AB1108" s="1" t="s">
        <v>938</v>
      </c>
      <c r="AC1108" s="5">
        <v>41977</v>
      </c>
      <c r="AF1108" s="1">
        <v>10065</v>
      </c>
      <c r="AJ1108" s="1">
        <v>1951</v>
      </c>
      <c r="AK1108" s="1" t="s">
        <v>99</v>
      </c>
      <c r="AL1108" s="1">
        <v>68</v>
      </c>
    </row>
    <row r="1109" spans="1:38" x14ac:dyDescent="0.2">
      <c r="A1109" s="2" t="str">
        <f>HYPERLINK("https://www.compass.com/listing/21-east-61st-street-unit-12e-manhattan-ny-10065/29410718705100481/","21 E 61st St, Unit 12E")</f>
        <v>21 E 61st St, Unit 12E</v>
      </c>
      <c r="B1109" s="2" t="str">
        <f t="shared" si="154"/>
        <v>The Carlton House</v>
      </c>
      <c r="C1109" s="1" t="s">
        <v>98</v>
      </c>
      <c r="D1109" s="1" t="s">
        <v>41</v>
      </c>
      <c r="E1109" s="3">
        <v>10083925</v>
      </c>
      <c r="F1109" s="1">
        <v>4415.02845884413</v>
      </c>
      <c r="G1109" s="1">
        <v>8</v>
      </c>
      <c r="H1109" s="1">
        <v>3</v>
      </c>
      <c r="I1109" s="1">
        <v>4</v>
      </c>
      <c r="J1109" s="1">
        <v>3.5</v>
      </c>
      <c r="M1109" s="4">
        <v>2284</v>
      </c>
      <c r="N1109" s="1">
        <v>7314</v>
      </c>
      <c r="O1109" s="1">
        <v>7314</v>
      </c>
      <c r="Q1109" s="1" t="s">
        <v>836</v>
      </c>
      <c r="S1109" s="1" t="s">
        <v>836</v>
      </c>
      <c r="T1109" s="1" t="s">
        <v>153</v>
      </c>
      <c r="V1109" s="5">
        <v>41640</v>
      </c>
      <c r="Y1109" s="1">
        <v>9900000</v>
      </c>
      <c r="Z1109" s="5">
        <v>42105</v>
      </c>
      <c r="AA1109" s="1">
        <v>10083925</v>
      </c>
      <c r="AB1109" s="1" t="s">
        <v>939</v>
      </c>
      <c r="AC1109" s="5">
        <v>42073</v>
      </c>
      <c r="AF1109" s="1">
        <v>10065</v>
      </c>
      <c r="AI1109" s="1" t="s">
        <v>163</v>
      </c>
      <c r="AJ1109" s="1">
        <v>1951</v>
      </c>
      <c r="AK1109" s="1" t="s">
        <v>99</v>
      </c>
      <c r="AL1109" s="1">
        <v>68</v>
      </c>
    </row>
    <row r="1110" spans="1:38" x14ac:dyDescent="0.2">
      <c r="A1110" s="2" t="str">
        <f>HYPERLINK("https://www.compass.com/listing/21-east-61st-street-unit-3b-manhattan-ny-10065/80859605416143073/","21 E 61st St, Unit 3B")</f>
        <v>21 E 61st St, Unit 3B</v>
      </c>
      <c r="B1110" s="2" t="str">
        <f t="shared" si="154"/>
        <v>The Carlton House</v>
      </c>
      <c r="C1110" s="1" t="s">
        <v>98</v>
      </c>
      <c r="D1110" s="1" t="s">
        <v>41</v>
      </c>
      <c r="E1110" s="3">
        <v>7691038</v>
      </c>
      <c r="F1110" s="1">
        <v>3243.7948123154702</v>
      </c>
      <c r="H1110" s="1">
        <v>3</v>
      </c>
      <c r="J1110" s="1">
        <v>3.5</v>
      </c>
      <c r="K1110" s="1">
        <v>3</v>
      </c>
      <c r="L1110" s="1">
        <v>1</v>
      </c>
      <c r="M1110" s="4">
        <v>2371</v>
      </c>
      <c r="N1110" s="1">
        <v>8772</v>
      </c>
      <c r="O1110" s="1">
        <v>8772</v>
      </c>
      <c r="Q1110" s="1" t="s">
        <v>117</v>
      </c>
      <c r="S1110" s="1" t="s">
        <v>117</v>
      </c>
      <c r="T1110" s="1" t="s">
        <v>153</v>
      </c>
      <c r="AA1110" s="1">
        <v>7691037.5</v>
      </c>
      <c r="AB1110" s="1" t="s">
        <v>940</v>
      </c>
      <c r="AC1110" s="5">
        <v>42258</v>
      </c>
      <c r="AF1110" s="1">
        <v>10065</v>
      </c>
      <c r="AJ1110" s="1">
        <v>1951</v>
      </c>
      <c r="AK1110" s="1" t="s">
        <v>99</v>
      </c>
      <c r="AL1110" s="1">
        <v>68</v>
      </c>
    </row>
    <row r="1111" spans="1:38" x14ac:dyDescent="0.2">
      <c r="A1111" s="2" t="str">
        <f>HYPERLINK("https://www.compass.com/listing/21-east-61st-street-unit-16b-manhattan-ny-10065/816726158762253593/","21 E 61st St, Unit 16B")</f>
        <v>21 E 61st St, Unit 16B</v>
      </c>
      <c r="B1111" s="2" t="str">
        <f t="shared" si="154"/>
        <v>The Carlton House</v>
      </c>
      <c r="C1111" s="1" t="s">
        <v>98</v>
      </c>
      <c r="D1111" s="1" t="s">
        <v>41</v>
      </c>
      <c r="E1111" s="3">
        <v>21641063</v>
      </c>
      <c r="F1111" s="1">
        <v>6041.61432160804</v>
      </c>
      <c r="H1111" s="1">
        <v>3</v>
      </c>
      <c r="J1111" s="1">
        <v>3.5</v>
      </c>
      <c r="K1111" s="1">
        <v>3</v>
      </c>
      <c r="L1111" s="1">
        <v>1</v>
      </c>
      <c r="M1111" s="4">
        <v>3582</v>
      </c>
      <c r="N1111" s="1">
        <v>14597</v>
      </c>
      <c r="O1111" s="1">
        <v>14598</v>
      </c>
      <c r="Q1111" s="1" t="s">
        <v>117</v>
      </c>
      <c r="S1111" s="1" t="s">
        <v>117</v>
      </c>
      <c r="T1111" s="1" t="s">
        <v>153</v>
      </c>
      <c r="AA1111" s="1">
        <v>21641062.5</v>
      </c>
      <c r="AB1111" s="1" t="s">
        <v>941</v>
      </c>
      <c r="AC1111" s="5">
        <v>42184</v>
      </c>
      <c r="AF1111" s="1">
        <v>10065</v>
      </c>
      <c r="AJ1111" s="1">
        <v>1951</v>
      </c>
      <c r="AK1111" s="1" t="s">
        <v>99</v>
      </c>
      <c r="AL1111" s="1">
        <v>68</v>
      </c>
    </row>
    <row r="1112" spans="1:38" x14ac:dyDescent="0.2">
      <c r="A1112" s="2" t="str">
        <f>HYPERLINK("https://www.compass.com/listing/21-east-61st-street-unit-3f-manhattan-ny-10065/843937547298835793/","21 E 61st St, Unit 3F")</f>
        <v>21 E 61st St, Unit 3F</v>
      </c>
      <c r="B1112" s="2" t="str">
        <f t="shared" si="154"/>
        <v>The Carlton House</v>
      </c>
      <c r="C1112" s="1" t="s">
        <v>98</v>
      </c>
      <c r="D1112" s="1" t="s">
        <v>41</v>
      </c>
      <c r="E1112" s="3">
        <v>7741950</v>
      </c>
      <c r="F1112" s="1">
        <v>3252.9201680672199</v>
      </c>
      <c r="H1112" s="1">
        <v>3</v>
      </c>
      <c r="J1112" s="1">
        <v>3.5</v>
      </c>
      <c r="M1112" s="4">
        <v>2380</v>
      </c>
      <c r="N1112" s="1">
        <v>7478</v>
      </c>
      <c r="O1112" s="1">
        <v>7478</v>
      </c>
      <c r="Q1112" s="1" t="s">
        <v>117</v>
      </c>
      <c r="S1112" s="1" t="s">
        <v>117</v>
      </c>
      <c r="T1112" s="1" t="s">
        <v>153</v>
      </c>
      <c r="AA1112" s="1">
        <v>7741950</v>
      </c>
      <c r="AB1112" s="1" t="s">
        <v>942</v>
      </c>
      <c r="AC1112" s="5">
        <v>42180</v>
      </c>
      <c r="AF1112" s="1">
        <v>10065</v>
      </c>
      <c r="AJ1112" s="1">
        <v>1951</v>
      </c>
      <c r="AK1112" s="1" t="s">
        <v>99</v>
      </c>
      <c r="AL1112" s="1">
        <v>68</v>
      </c>
    </row>
    <row r="1113" spans="1:38" x14ac:dyDescent="0.2">
      <c r="A1113" s="2" t="str">
        <f>HYPERLINK("https://www.compass.com/listing/21-east-61st-street-unit-11b-manhattan-ny-10065/278793106344748513/","21 E 61st St, Unit 11B")</f>
        <v>21 E 61st St, Unit 11B</v>
      </c>
      <c r="B1113" s="2" t="str">
        <f t="shared" si="154"/>
        <v>The Carlton House</v>
      </c>
      <c r="C1113" s="1" t="s">
        <v>98</v>
      </c>
      <c r="D1113" s="1" t="s">
        <v>41</v>
      </c>
      <c r="E1113" s="3">
        <v>8928211</v>
      </c>
      <c r="F1113" s="1">
        <v>4284.1704654510504</v>
      </c>
      <c r="G1113" s="1">
        <v>6</v>
      </c>
      <c r="H1113" s="1">
        <v>3</v>
      </c>
      <c r="I1113" s="1">
        <v>3</v>
      </c>
      <c r="J1113" s="1">
        <v>2.5</v>
      </c>
      <c r="M1113" s="4">
        <v>2084</v>
      </c>
      <c r="N1113" s="1">
        <v>6768</v>
      </c>
      <c r="O1113" s="1">
        <v>6768</v>
      </c>
      <c r="Q1113" s="1" t="s">
        <v>836</v>
      </c>
      <c r="S1113" s="1" t="s">
        <v>836</v>
      </c>
      <c r="T1113" s="1" t="s">
        <v>153</v>
      </c>
      <c r="V1113" s="5">
        <v>41640</v>
      </c>
      <c r="Y1113" s="1">
        <v>8700000</v>
      </c>
      <c r="Z1113" s="5">
        <v>42105</v>
      </c>
      <c r="AA1113" s="1">
        <v>8928211.25</v>
      </c>
      <c r="AB1113" s="1" t="s">
        <v>943</v>
      </c>
      <c r="AC1113" s="5">
        <v>42135</v>
      </c>
      <c r="AF1113" s="1">
        <v>10065</v>
      </c>
      <c r="AI1113" s="1" t="s">
        <v>163</v>
      </c>
      <c r="AJ1113" s="1">
        <v>1951</v>
      </c>
      <c r="AK1113" s="1" t="s">
        <v>99</v>
      </c>
      <c r="AL1113" s="1">
        <v>68</v>
      </c>
    </row>
    <row r="1114" spans="1:38" x14ac:dyDescent="0.2">
      <c r="A1114" s="2" t="str">
        <f>HYPERLINK("https://www.compass.com/listing/101-leonard-street-unit-3c-manhattan-ny-10013/276883777492375633/","101 Leonard St, Unit 3C")</f>
        <v>101 Leonard St, Unit 3C</v>
      </c>
      <c r="B1114" s="2" t="str">
        <f t="shared" ref="B1114:B1118" si="155">HYPERLINK("https://www.compass.com/building/the-leonard-manhattan-ny/281919139939910965/","The Leonard")</f>
        <v>The Leonard</v>
      </c>
      <c r="C1114" s="1" t="s">
        <v>77</v>
      </c>
      <c r="D1114" s="1" t="s">
        <v>41</v>
      </c>
      <c r="E1114" s="3">
        <v>1308418</v>
      </c>
      <c r="F1114" s="1">
        <v>1375.8333333333301</v>
      </c>
      <c r="H1114" s="1">
        <v>1</v>
      </c>
      <c r="J1114" s="1">
        <v>1.5</v>
      </c>
      <c r="K1114" s="1">
        <v>1</v>
      </c>
      <c r="L1114" s="1">
        <v>1</v>
      </c>
      <c r="M1114" s="1">
        <v>951</v>
      </c>
      <c r="N1114" s="1">
        <v>1057</v>
      </c>
      <c r="O1114" s="1">
        <v>2457</v>
      </c>
      <c r="P1114" s="1">
        <v>1400</v>
      </c>
      <c r="Q1114" s="1" t="s">
        <v>42</v>
      </c>
      <c r="S1114" s="1" t="s">
        <v>42</v>
      </c>
      <c r="T1114" s="1" t="s">
        <v>153</v>
      </c>
      <c r="AA1114" s="1">
        <v>1308417.5</v>
      </c>
      <c r="AB1114" s="1" t="s">
        <v>944</v>
      </c>
      <c r="AC1114" s="5">
        <v>41977</v>
      </c>
      <c r="AF1114" s="1">
        <v>10013</v>
      </c>
      <c r="AI1114" s="1" t="s">
        <v>55</v>
      </c>
      <c r="AJ1114" s="1">
        <v>2014</v>
      </c>
      <c r="AK1114" s="1" t="s">
        <v>49</v>
      </c>
      <c r="AL1114" s="1">
        <v>66</v>
      </c>
    </row>
    <row r="1115" spans="1:38" x14ac:dyDescent="0.2">
      <c r="A1115" s="2" t="str">
        <f>HYPERLINK("https://www.compass.com/listing/101-leonard-street-unit-6c-manhattan-ny-10013/276883798849801537/","101 Leonard St, Unit 6C")</f>
        <v>101 Leonard St, Unit 6C</v>
      </c>
      <c r="B1115" s="2" t="str">
        <f t="shared" si="155"/>
        <v>The Leonard</v>
      </c>
      <c r="C1115" s="1" t="s">
        <v>77</v>
      </c>
      <c r="D1115" s="1" t="s">
        <v>41</v>
      </c>
      <c r="E1115" s="3">
        <v>1374638</v>
      </c>
      <c r="F1115" s="1">
        <v>1445.46529968454</v>
      </c>
      <c r="H1115" s="1">
        <v>1</v>
      </c>
      <c r="J1115" s="1">
        <v>1.5</v>
      </c>
      <c r="K1115" s="1">
        <v>1</v>
      </c>
      <c r="L1115" s="1">
        <v>1</v>
      </c>
      <c r="M1115" s="1">
        <v>951</v>
      </c>
      <c r="N1115" s="1">
        <v>1057</v>
      </c>
      <c r="O1115" s="1">
        <v>2457</v>
      </c>
      <c r="P1115" s="1">
        <v>1400</v>
      </c>
      <c r="Q1115" s="1" t="s">
        <v>42</v>
      </c>
      <c r="S1115" s="1" t="s">
        <v>42</v>
      </c>
      <c r="T1115" s="1" t="s">
        <v>153</v>
      </c>
      <c r="AA1115" s="1">
        <v>1374637.5</v>
      </c>
      <c r="AB1115" s="1" t="s">
        <v>945</v>
      </c>
      <c r="AC1115" s="5">
        <v>41962</v>
      </c>
      <c r="AF1115" s="1">
        <v>10013</v>
      </c>
      <c r="AI1115" s="1" t="s">
        <v>55</v>
      </c>
      <c r="AJ1115" s="1">
        <v>2014</v>
      </c>
      <c r="AK1115" s="1" t="s">
        <v>49</v>
      </c>
      <c r="AL1115" s="1">
        <v>66</v>
      </c>
    </row>
    <row r="1116" spans="1:38" x14ac:dyDescent="0.2">
      <c r="A1116" s="2" t="str">
        <f>HYPERLINK("https://www.compass.com/listing/101-leonard-street-unit-5a-manhattan-ny-10013/276883786937945297/","101 Leonard St, Unit 5A")</f>
        <v>101 Leonard St, Unit 5A</v>
      </c>
      <c r="B1116" s="2" t="str">
        <f t="shared" si="155"/>
        <v>The Leonard</v>
      </c>
      <c r="C1116" s="1" t="s">
        <v>77</v>
      </c>
      <c r="D1116" s="1" t="s">
        <v>41</v>
      </c>
      <c r="E1116" s="3">
        <v>997885</v>
      </c>
      <c r="F1116" s="1">
        <v>1195.0718562874199</v>
      </c>
      <c r="H1116" s="1">
        <v>1</v>
      </c>
      <c r="J1116" s="1">
        <v>1</v>
      </c>
      <c r="M1116" s="1">
        <v>835</v>
      </c>
      <c r="N1116" s="1">
        <v>927</v>
      </c>
      <c r="O1116" s="1">
        <v>1904</v>
      </c>
      <c r="P1116" s="1">
        <v>977</v>
      </c>
      <c r="Q1116" s="1" t="s">
        <v>42</v>
      </c>
      <c r="S1116" s="1" t="s">
        <v>42</v>
      </c>
      <c r="T1116" s="1" t="s">
        <v>153</v>
      </c>
      <c r="AA1116" s="1">
        <v>997885</v>
      </c>
      <c r="AB1116" s="1" t="s">
        <v>946</v>
      </c>
      <c r="AC1116" s="5">
        <v>41995</v>
      </c>
      <c r="AF1116" s="1">
        <v>10013</v>
      </c>
      <c r="AI1116" s="1" t="s">
        <v>55</v>
      </c>
      <c r="AJ1116" s="1">
        <v>2014</v>
      </c>
      <c r="AK1116" s="1" t="s">
        <v>49</v>
      </c>
      <c r="AL1116" s="1">
        <v>66</v>
      </c>
    </row>
    <row r="1117" spans="1:38" x14ac:dyDescent="0.2">
      <c r="A1117" s="2" t="str">
        <f>HYPERLINK("https://www.compass.com/listing/101-leonard-street-unit-8a-manhattan-ny-10013/483738634089515961/","101 Leonard St, Unit 8A")</f>
        <v>101 Leonard St, Unit 8A</v>
      </c>
      <c r="B1117" s="2" t="str">
        <f t="shared" si="155"/>
        <v>The Leonard</v>
      </c>
      <c r="C1117" s="1" t="s">
        <v>77</v>
      </c>
      <c r="D1117" s="1" t="s">
        <v>41</v>
      </c>
      <c r="E1117" s="3">
        <v>763688</v>
      </c>
      <c r="F1117" s="1">
        <v>914.59580838323302</v>
      </c>
      <c r="H1117" s="1">
        <v>1</v>
      </c>
      <c r="J1117" s="1">
        <v>1</v>
      </c>
      <c r="M1117" s="1">
        <v>835</v>
      </c>
      <c r="N1117" s="1">
        <v>934</v>
      </c>
      <c r="O1117" s="1">
        <v>1861</v>
      </c>
      <c r="P1117" s="1">
        <v>927</v>
      </c>
      <c r="Q1117" s="1" t="s">
        <v>42</v>
      </c>
      <c r="S1117" s="1" t="s">
        <v>42</v>
      </c>
      <c r="T1117" s="1" t="s">
        <v>153</v>
      </c>
      <c r="AA1117" s="1">
        <v>763687.5</v>
      </c>
      <c r="AB1117" s="1" t="s">
        <v>947</v>
      </c>
      <c r="AC1117" s="5">
        <v>42048</v>
      </c>
      <c r="AF1117" s="1">
        <v>10013</v>
      </c>
      <c r="AI1117" s="1" t="s">
        <v>55</v>
      </c>
      <c r="AJ1117" s="1">
        <v>2014</v>
      </c>
      <c r="AK1117" s="1" t="s">
        <v>49</v>
      </c>
      <c r="AL1117" s="1">
        <v>66</v>
      </c>
    </row>
    <row r="1118" spans="1:38" x14ac:dyDescent="0.2">
      <c r="A1118" s="2" t="str">
        <f>HYPERLINK("https://www.compass.com/listing/101-leonard-street-unit-5a-manhattan-ny-10013/29358428635920273/","101 Leonard St, Unit 5A")</f>
        <v>101 Leonard St, Unit 5A</v>
      </c>
      <c r="B1118" s="2" t="str">
        <f t="shared" si="155"/>
        <v>The Leonard</v>
      </c>
      <c r="C1118" s="1" t="s">
        <v>77</v>
      </c>
      <c r="D1118" s="1" t="s">
        <v>41</v>
      </c>
      <c r="E1118" s="3">
        <v>1510000</v>
      </c>
      <c r="F1118" s="1">
        <v>1808.38323353293</v>
      </c>
      <c r="G1118" s="1">
        <v>3</v>
      </c>
      <c r="H1118" s="1">
        <v>1</v>
      </c>
      <c r="I1118" s="1">
        <v>1</v>
      </c>
      <c r="J1118" s="1">
        <v>1</v>
      </c>
      <c r="M1118" s="1">
        <v>835</v>
      </c>
      <c r="N1118" s="1">
        <v>927</v>
      </c>
      <c r="O1118" s="1">
        <v>1904</v>
      </c>
      <c r="P1118" s="1">
        <v>977</v>
      </c>
      <c r="Q1118" s="1" t="s">
        <v>42</v>
      </c>
      <c r="S1118" s="1" t="s">
        <v>42</v>
      </c>
      <c r="T1118" s="1" t="s">
        <v>153</v>
      </c>
      <c r="U1118" s="1">
        <v>149</v>
      </c>
      <c r="V1118" s="5">
        <v>42262</v>
      </c>
      <c r="W1118" s="5">
        <v>42079</v>
      </c>
      <c r="X1118" s="1">
        <v>1590000</v>
      </c>
      <c r="Y1118" s="1">
        <v>1590000</v>
      </c>
      <c r="Z1118" s="5">
        <v>42229</v>
      </c>
      <c r="AA1118" s="1">
        <v>1510000</v>
      </c>
      <c r="AB1118" s="1" t="s">
        <v>948</v>
      </c>
      <c r="AC1118" s="5">
        <v>42230</v>
      </c>
      <c r="AF1118" s="1">
        <v>10013</v>
      </c>
      <c r="AI1118" s="1" t="s">
        <v>55</v>
      </c>
      <c r="AJ1118" s="1">
        <v>2014</v>
      </c>
      <c r="AK1118" s="1" t="s">
        <v>46</v>
      </c>
      <c r="AL1118" s="1">
        <v>66</v>
      </c>
    </row>
    <row r="1119" spans="1:38" x14ac:dyDescent="0.2">
      <c r="A1119" s="2" t="str">
        <f>HYPERLINK("https://www.compass.com/listing/110-charlton-street-unit-16g-manhattan-ny-10014/776516952972371985/","110 Charlton St, Unit 16G")</f>
        <v>110 Charlton St, Unit 16G</v>
      </c>
      <c r="B1119" s="2" t="str">
        <f>HYPERLINK("https://www.compass.com/building/greenwich-west-manhattan-ny/282058690331179733/","Greenwich West")</f>
        <v>Greenwich West</v>
      </c>
      <c r="C1119" s="1" t="s">
        <v>72</v>
      </c>
      <c r="D1119" s="1" t="s">
        <v>41</v>
      </c>
      <c r="E1119" s="3">
        <v>1173678</v>
      </c>
      <c r="Q1119" s="1" t="s">
        <v>42</v>
      </c>
      <c r="S1119" s="1" t="s">
        <v>42</v>
      </c>
      <c r="T1119" s="1" t="s">
        <v>153</v>
      </c>
      <c r="AA1119" s="1">
        <v>1173677.6599999999</v>
      </c>
      <c r="AB1119" s="1" t="s">
        <v>949</v>
      </c>
      <c r="AC1119" s="5">
        <v>44301</v>
      </c>
      <c r="AF1119" s="1">
        <v>10014</v>
      </c>
      <c r="AI1119" s="1" t="s">
        <v>51</v>
      </c>
      <c r="AJ1119" s="1">
        <v>2020</v>
      </c>
      <c r="AK1119" s="1" t="s">
        <v>49</v>
      </c>
      <c r="AL1119" s="1">
        <v>170</v>
      </c>
    </row>
    <row r="1120" spans="1:38" x14ac:dyDescent="0.2">
      <c r="A1120" s="2" t="str">
        <f>HYPERLINK("https://www.compass.com/listing/21-east-61st-street-unit-14a-manhattan-ny-10065/29410716096243297/","21 E 61st St, Unit 14A")</f>
        <v>21 E 61st St, Unit 14A</v>
      </c>
      <c r="B1120" s="2" t="str">
        <f>HYPERLINK("https://www.compass.com/building/the-carlton-house-manhattan-ny/292926373863910149/","The Carlton House")</f>
        <v>The Carlton House</v>
      </c>
      <c r="C1120" s="1" t="s">
        <v>98</v>
      </c>
      <c r="D1120" s="1" t="s">
        <v>41</v>
      </c>
      <c r="E1120" s="3">
        <v>24237600</v>
      </c>
      <c r="F1120" s="1">
        <v>5158.0336241753503</v>
      </c>
      <c r="G1120" s="1">
        <v>9</v>
      </c>
      <c r="H1120" s="1">
        <v>4</v>
      </c>
      <c r="I1120" s="1">
        <v>6</v>
      </c>
      <c r="J1120" s="1">
        <v>5.5</v>
      </c>
      <c r="M1120" s="4">
        <v>4699</v>
      </c>
      <c r="N1120" s="1">
        <v>15665</v>
      </c>
      <c r="O1120" s="1">
        <v>15665</v>
      </c>
      <c r="Q1120" s="1" t="s">
        <v>836</v>
      </c>
      <c r="S1120" s="1" t="s">
        <v>836</v>
      </c>
      <c r="T1120" s="1" t="s">
        <v>153</v>
      </c>
      <c r="V1120" s="5">
        <v>41640</v>
      </c>
      <c r="Y1120" s="1">
        <v>24500000</v>
      </c>
      <c r="Z1120" s="5">
        <v>42105</v>
      </c>
      <c r="AA1120" s="1">
        <v>24237600</v>
      </c>
      <c r="AB1120" s="1" t="s">
        <v>950</v>
      </c>
      <c r="AC1120" s="5">
        <v>42093</v>
      </c>
      <c r="AF1120" s="1">
        <v>10065</v>
      </c>
      <c r="AI1120" s="1" t="s">
        <v>163</v>
      </c>
      <c r="AJ1120" s="1">
        <v>1951</v>
      </c>
      <c r="AK1120" s="1" t="s">
        <v>99</v>
      </c>
      <c r="AL1120" s="1">
        <v>68</v>
      </c>
    </row>
    <row r="1121" spans="1:38" x14ac:dyDescent="0.2">
      <c r="A1121" s="2" t="str">
        <f>HYPERLINK("https://www.compass.com/listing/110-charlton-street-unit-6e-manhattan-ny-10014/724646090461232905/","110 Charlton St, Unit 6E")</f>
        <v>110 Charlton St, Unit 6E</v>
      </c>
      <c r="B1121" s="2" t="str">
        <f t="shared" ref="B1121:B1130" si="156">HYPERLINK("https://www.compass.com/building/greenwich-west-manhattan-ny/282058690331179733/","Greenwich West")</f>
        <v>Greenwich West</v>
      </c>
      <c r="C1121" s="1" t="s">
        <v>72</v>
      </c>
      <c r="D1121" s="1" t="s">
        <v>41</v>
      </c>
      <c r="E1121" s="3">
        <v>960405</v>
      </c>
      <c r="Q1121" s="1" t="s">
        <v>42</v>
      </c>
      <c r="S1121" s="1" t="s">
        <v>42</v>
      </c>
      <c r="T1121" s="1" t="s">
        <v>153</v>
      </c>
      <c r="AA1121" s="1">
        <v>960405</v>
      </c>
      <c r="AB1121" s="1" t="s">
        <v>951</v>
      </c>
      <c r="AC1121" s="5">
        <v>44147</v>
      </c>
      <c r="AF1121" s="1">
        <v>10014</v>
      </c>
      <c r="AI1121" s="1" t="s">
        <v>51</v>
      </c>
      <c r="AJ1121" s="1">
        <v>2020</v>
      </c>
      <c r="AK1121" s="1" t="s">
        <v>49</v>
      </c>
      <c r="AL1121" s="1">
        <v>170</v>
      </c>
    </row>
    <row r="1122" spans="1:38" x14ac:dyDescent="0.2">
      <c r="A1122" s="2" t="str">
        <f>HYPERLINK("https://www.compass.com/listing/110-charlton-street-unit-28d-manhattan-ny-10014/751884557643156153/","110 Charlton St, Unit 28D")</f>
        <v>110 Charlton St, Unit 28D</v>
      </c>
      <c r="B1122" s="2" t="str">
        <f t="shared" si="156"/>
        <v>Greenwich West</v>
      </c>
      <c r="C1122" s="1" t="s">
        <v>72</v>
      </c>
      <c r="D1122" s="1" t="s">
        <v>41</v>
      </c>
      <c r="E1122" s="3">
        <v>1980000</v>
      </c>
      <c r="Q1122" s="1" t="s">
        <v>42</v>
      </c>
      <c r="S1122" s="1" t="s">
        <v>42</v>
      </c>
      <c r="T1122" s="1" t="s">
        <v>153</v>
      </c>
      <c r="AA1122" s="1">
        <v>1980000</v>
      </c>
      <c r="AB1122" s="1" t="s">
        <v>952</v>
      </c>
      <c r="AC1122" s="5">
        <v>44280</v>
      </c>
      <c r="AF1122" s="1">
        <v>10014</v>
      </c>
      <c r="AI1122" s="1" t="s">
        <v>51</v>
      </c>
      <c r="AJ1122" s="1">
        <v>2020</v>
      </c>
      <c r="AK1122" s="1" t="s">
        <v>49</v>
      </c>
      <c r="AL1122" s="1">
        <v>170</v>
      </c>
    </row>
    <row r="1123" spans="1:38" x14ac:dyDescent="0.2">
      <c r="A1123" s="2" t="str">
        <f>HYPERLINK("https://www.compass.com/listing/110-charlton-street-unit-26d-manhattan-ny-10014/756229361784188049/","110 Charlton St, Unit 26D")</f>
        <v>110 Charlton St, Unit 26D</v>
      </c>
      <c r="B1123" s="2" t="str">
        <f t="shared" si="156"/>
        <v>Greenwich West</v>
      </c>
      <c r="C1123" s="1" t="s">
        <v>72</v>
      </c>
      <c r="D1123" s="1" t="s">
        <v>41</v>
      </c>
      <c r="E1123" s="3">
        <v>1990000</v>
      </c>
      <c r="Q1123" s="1" t="s">
        <v>42</v>
      </c>
      <c r="S1123" s="1" t="s">
        <v>42</v>
      </c>
      <c r="T1123" s="1" t="s">
        <v>153</v>
      </c>
      <c r="AA1123" s="1">
        <v>1990000</v>
      </c>
      <c r="AB1123" s="1" t="s">
        <v>953</v>
      </c>
      <c r="AC1123" s="5">
        <v>44281</v>
      </c>
      <c r="AF1123" s="1">
        <v>10014</v>
      </c>
      <c r="AI1123" s="1" t="s">
        <v>51</v>
      </c>
      <c r="AJ1123" s="1">
        <v>2020</v>
      </c>
      <c r="AK1123" s="1" t="s">
        <v>49</v>
      </c>
      <c r="AL1123" s="1">
        <v>170</v>
      </c>
    </row>
    <row r="1124" spans="1:38" x14ac:dyDescent="0.2">
      <c r="A1124" s="2" t="str">
        <f>HYPERLINK("https://www.compass.com/listing/110-charlton-street-unit-27d-manhattan-ny-10014/756229378829488281/","110 Charlton St, Unit 27D")</f>
        <v>110 Charlton St, Unit 27D</v>
      </c>
      <c r="B1124" s="2" t="str">
        <f t="shared" si="156"/>
        <v>Greenwich West</v>
      </c>
      <c r="C1124" s="1" t="s">
        <v>72</v>
      </c>
      <c r="D1124" s="1" t="s">
        <v>41</v>
      </c>
      <c r="E1124" s="3">
        <v>2005000</v>
      </c>
      <c r="Q1124" s="1" t="s">
        <v>42</v>
      </c>
      <c r="S1124" s="1" t="s">
        <v>42</v>
      </c>
      <c r="T1124" s="1" t="s">
        <v>153</v>
      </c>
      <c r="AA1124" s="1">
        <v>2005000</v>
      </c>
      <c r="AB1124" s="1" t="s">
        <v>954</v>
      </c>
      <c r="AC1124" s="5">
        <v>44281</v>
      </c>
      <c r="AF1124" s="1">
        <v>10014</v>
      </c>
      <c r="AI1124" s="1" t="s">
        <v>51</v>
      </c>
      <c r="AJ1124" s="1">
        <v>2020</v>
      </c>
      <c r="AK1124" s="1" t="s">
        <v>49</v>
      </c>
      <c r="AL1124" s="1">
        <v>170</v>
      </c>
    </row>
    <row r="1125" spans="1:38" x14ac:dyDescent="0.2">
      <c r="A1125" s="2" t="str">
        <f>HYPERLINK("https://www.compass.com/listing/110-charlton-street-unit-25d-manhattan-ny-10014/762046075620584673/","110 Charlton St, Unit 25D")</f>
        <v>110 Charlton St, Unit 25D</v>
      </c>
      <c r="B1125" s="2" t="str">
        <f t="shared" si="156"/>
        <v>Greenwich West</v>
      </c>
      <c r="C1125" s="1" t="s">
        <v>72</v>
      </c>
      <c r="D1125" s="1" t="s">
        <v>41</v>
      </c>
      <c r="E1125" s="3">
        <v>1975000</v>
      </c>
      <c r="Q1125" s="1" t="s">
        <v>42</v>
      </c>
      <c r="S1125" s="1" t="s">
        <v>42</v>
      </c>
      <c r="T1125" s="1" t="s">
        <v>153</v>
      </c>
      <c r="AA1125" s="1">
        <v>1975000</v>
      </c>
      <c r="AB1125" s="1" t="s">
        <v>955</v>
      </c>
      <c r="AC1125" s="5">
        <v>44280</v>
      </c>
      <c r="AF1125" s="1">
        <v>10014</v>
      </c>
      <c r="AI1125" s="1" t="s">
        <v>51</v>
      </c>
      <c r="AJ1125" s="1">
        <v>2020</v>
      </c>
      <c r="AK1125" s="1" t="s">
        <v>49</v>
      </c>
      <c r="AL1125" s="1">
        <v>170</v>
      </c>
    </row>
    <row r="1126" spans="1:38" x14ac:dyDescent="0.2">
      <c r="A1126" s="2" t="str">
        <f>HYPERLINK("https://www.compass.com/listing/110-charlton-street-unit-24d-manhattan-ny-10014/789570077295136201/","110 Charlton St, Unit 24D")</f>
        <v>110 Charlton St, Unit 24D</v>
      </c>
      <c r="B1126" s="2" t="str">
        <f t="shared" si="156"/>
        <v>Greenwich West</v>
      </c>
      <c r="C1126" s="1" t="s">
        <v>72</v>
      </c>
      <c r="D1126" s="1" t="s">
        <v>41</v>
      </c>
      <c r="E1126" s="3">
        <v>1960000</v>
      </c>
      <c r="Q1126" s="1" t="s">
        <v>42</v>
      </c>
      <c r="S1126" s="1" t="s">
        <v>42</v>
      </c>
      <c r="T1126" s="1" t="s">
        <v>153</v>
      </c>
      <c r="AA1126" s="1">
        <v>1960000</v>
      </c>
      <c r="AB1126" s="1" t="s">
        <v>956</v>
      </c>
      <c r="AC1126" s="5">
        <v>44267</v>
      </c>
      <c r="AF1126" s="1">
        <v>10014</v>
      </c>
      <c r="AI1126" s="1" t="s">
        <v>51</v>
      </c>
      <c r="AJ1126" s="1">
        <v>2020</v>
      </c>
      <c r="AK1126" s="1" t="s">
        <v>49</v>
      </c>
      <c r="AL1126" s="1">
        <v>170</v>
      </c>
    </row>
    <row r="1127" spans="1:38" x14ac:dyDescent="0.2">
      <c r="A1127" s="2" t="str">
        <f>HYPERLINK("https://www.compass.com/listing/110-charlton-street-unit-22d-manhattan-ny-10014/825822698186543825/","110 Charlton St, Unit 22D")</f>
        <v>110 Charlton St, Unit 22D</v>
      </c>
      <c r="B1127" s="2" t="str">
        <f t="shared" si="156"/>
        <v>Greenwich West</v>
      </c>
      <c r="C1127" s="1" t="s">
        <v>72</v>
      </c>
      <c r="D1127" s="1" t="s">
        <v>41</v>
      </c>
      <c r="E1127" s="3">
        <v>2014294</v>
      </c>
      <c r="Q1127" s="1" t="s">
        <v>42</v>
      </c>
      <c r="S1127" s="1" t="s">
        <v>42</v>
      </c>
      <c r="T1127" s="1" t="s">
        <v>153</v>
      </c>
      <c r="AA1127" s="1">
        <v>2014293.75</v>
      </c>
      <c r="AB1127" s="1" t="s">
        <v>957</v>
      </c>
      <c r="AC1127" s="5">
        <v>44370</v>
      </c>
      <c r="AF1127" s="1">
        <v>10014</v>
      </c>
      <c r="AI1127" s="1" t="s">
        <v>51</v>
      </c>
      <c r="AJ1127" s="1">
        <v>2020</v>
      </c>
      <c r="AK1127" s="1" t="s">
        <v>49</v>
      </c>
      <c r="AL1127" s="1">
        <v>170</v>
      </c>
    </row>
    <row r="1128" spans="1:38" x14ac:dyDescent="0.2">
      <c r="A1128" s="2" t="str">
        <f>HYPERLINK("https://www.compass.com/listing/110-charlton-street-unit-19f-manhattan-ny-10014/769298663989611089/","110 Charlton St, Unit 19F")</f>
        <v>110 Charlton St, Unit 19F</v>
      </c>
      <c r="B1128" s="2" t="str">
        <f t="shared" si="156"/>
        <v>Greenwich West</v>
      </c>
      <c r="C1128" s="1" t="s">
        <v>72</v>
      </c>
      <c r="D1128" s="1" t="s">
        <v>41</v>
      </c>
      <c r="E1128" s="3">
        <v>1240424</v>
      </c>
      <c r="Q1128" s="1" t="s">
        <v>42</v>
      </c>
      <c r="S1128" s="1" t="s">
        <v>42</v>
      </c>
      <c r="T1128" s="1" t="s">
        <v>153</v>
      </c>
      <c r="AA1128" s="1">
        <v>1240423.75</v>
      </c>
      <c r="AB1128" s="1" t="s">
        <v>958</v>
      </c>
      <c r="AC1128" s="5">
        <v>44299</v>
      </c>
      <c r="AF1128" s="1">
        <v>10014</v>
      </c>
      <c r="AI1128" s="1" t="s">
        <v>51</v>
      </c>
      <c r="AJ1128" s="1">
        <v>2020</v>
      </c>
      <c r="AK1128" s="1" t="s">
        <v>49</v>
      </c>
      <c r="AL1128" s="1">
        <v>170</v>
      </c>
    </row>
    <row r="1129" spans="1:38" x14ac:dyDescent="0.2">
      <c r="A1129" s="2" t="str">
        <f>HYPERLINK("https://www.compass.com/listing/110-charlton-street-unit-18f-manhattan-ny-10014/800440156258879617/","110 Charlton St, Unit 18F")</f>
        <v>110 Charlton St, Unit 18F</v>
      </c>
      <c r="B1129" s="2" t="str">
        <f t="shared" si="156"/>
        <v>Greenwich West</v>
      </c>
      <c r="C1129" s="1" t="s">
        <v>72</v>
      </c>
      <c r="D1129" s="1" t="s">
        <v>41</v>
      </c>
      <c r="E1129" s="3">
        <v>1182766</v>
      </c>
      <c r="Q1129" s="1" t="s">
        <v>42</v>
      </c>
      <c r="S1129" s="1" t="s">
        <v>42</v>
      </c>
      <c r="T1129" s="1" t="s">
        <v>153</v>
      </c>
      <c r="AA1129" s="1">
        <v>1182766.06</v>
      </c>
      <c r="AB1129" s="1" t="s">
        <v>959</v>
      </c>
      <c r="AC1129" s="5">
        <v>44336</v>
      </c>
      <c r="AF1129" s="1">
        <v>10014</v>
      </c>
      <c r="AI1129" s="1" t="s">
        <v>51</v>
      </c>
      <c r="AJ1129" s="1">
        <v>2020</v>
      </c>
      <c r="AK1129" s="1" t="s">
        <v>49</v>
      </c>
      <c r="AL1129" s="1">
        <v>170</v>
      </c>
    </row>
    <row r="1130" spans="1:38" x14ac:dyDescent="0.2">
      <c r="A1130" s="2" t="str">
        <f>HYPERLINK("https://www.compass.com/listing/110-charlton-street-unit-20f-manhattan-ny-10014/817835437349515913/","110 Charlton St, Unit 20F")</f>
        <v>110 Charlton St, Unit 20F</v>
      </c>
      <c r="B1130" s="2" t="str">
        <f t="shared" si="156"/>
        <v>Greenwich West</v>
      </c>
      <c r="C1130" s="1" t="s">
        <v>72</v>
      </c>
      <c r="D1130" s="1" t="s">
        <v>41</v>
      </c>
      <c r="E1130" s="3">
        <v>1212931</v>
      </c>
      <c r="Q1130" s="1" t="s">
        <v>42</v>
      </c>
      <c r="S1130" s="1" t="s">
        <v>42</v>
      </c>
      <c r="T1130" s="1" t="s">
        <v>153</v>
      </c>
      <c r="AA1130" s="1">
        <v>1212931</v>
      </c>
      <c r="AB1130" s="1" t="s">
        <v>960</v>
      </c>
      <c r="AC1130" s="5">
        <v>44314</v>
      </c>
      <c r="AF1130" s="1">
        <v>10014</v>
      </c>
      <c r="AI1130" s="1" t="s">
        <v>51</v>
      </c>
      <c r="AJ1130" s="1">
        <v>2020</v>
      </c>
      <c r="AK1130" s="1" t="s">
        <v>49</v>
      </c>
      <c r="AL1130" s="1">
        <v>170</v>
      </c>
    </row>
    <row r="1131" spans="1:38" x14ac:dyDescent="0.2">
      <c r="A1131" s="2" t="str">
        <f>HYPERLINK("https://www.compass.com/listing/21-east-61st-street-unit-3e-manhattan-ny-10065/364183555390837441/","21 E 61st St, Unit 3E")</f>
        <v>21 E 61st St, Unit 3E</v>
      </c>
      <c r="B1131" s="2" t="str">
        <f>HYPERLINK("https://www.compass.com/building/the-carlton-house-manhattan-ny/292926373863910149/","The Carlton House")</f>
        <v>The Carlton House</v>
      </c>
      <c r="C1131" s="1" t="s">
        <v>98</v>
      </c>
      <c r="D1131" s="1" t="s">
        <v>41</v>
      </c>
      <c r="E1131" s="3">
        <v>9345694</v>
      </c>
      <c r="F1131" s="1">
        <v>3312.9010102800398</v>
      </c>
      <c r="G1131" s="1">
        <v>10</v>
      </c>
      <c r="H1131" s="1">
        <v>4</v>
      </c>
      <c r="I1131" s="1">
        <v>5</v>
      </c>
      <c r="J1131" s="1">
        <v>4.5</v>
      </c>
      <c r="M1131" s="4">
        <v>2821</v>
      </c>
      <c r="N1131" s="1">
        <v>9716</v>
      </c>
      <c r="O1131" s="1">
        <v>9716</v>
      </c>
      <c r="Q1131" s="1" t="s">
        <v>836</v>
      </c>
      <c r="S1131" s="1" t="s">
        <v>836</v>
      </c>
      <c r="T1131" s="1" t="s">
        <v>153</v>
      </c>
      <c r="U1131" s="1">
        <v>885</v>
      </c>
      <c r="V1131" s="5">
        <v>41640</v>
      </c>
      <c r="W1131" s="5">
        <v>41382</v>
      </c>
      <c r="X1131" s="1">
        <v>9950000</v>
      </c>
      <c r="Y1131" s="1">
        <v>9950000</v>
      </c>
      <c r="AA1131" s="1">
        <v>9345693.75</v>
      </c>
      <c r="AB1131" s="1" t="s">
        <v>961</v>
      </c>
      <c r="AC1131" s="5">
        <v>42268</v>
      </c>
      <c r="AF1131" s="1">
        <v>10065</v>
      </c>
      <c r="AI1131" s="1" t="s">
        <v>146</v>
      </c>
      <c r="AJ1131" s="1">
        <v>1951</v>
      </c>
      <c r="AK1131" s="1" t="s">
        <v>86</v>
      </c>
      <c r="AL1131" s="1">
        <v>68</v>
      </c>
    </row>
    <row r="1132" spans="1:38" x14ac:dyDescent="0.2">
      <c r="A1132" s="2" t="str">
        <f>HYPERLINK("https://www.compass.com/listing/110-charlton-street-unit-10b-manhattan-ny-10014/662791395608351985/","110 Charlton St, Unit 10B")</f>
        <v>110 Charlton St, Unit 10B</v>
      </c>
      <c r="B1132" s="2" t="str">
        <f t="shared" ref="B1132:B1148" si="157">HYPERLINK("https://www.compass.com/building/greenwich-west-manhattan-ny/282058690331179733/","Greenwich West")</f>
        <v>Greenwich West</v>
      </c>
      <c r="C1132" s="1" t="s">
        <v>72</v>
      </c>
      <c r="D1132" s="1" t="s">
        <v>41</v>
      </c>
      <c r="E1132" s="3">
        <v>1469988</v>
      </c>
      <c r="Q1132" s="1" t="s">
        <v>42</v>
      </c>
      <c r="S1132" s="1" t="s">
        <v>42</v>
      </c>
      <c r="T1132" s="1" t="s">
        <v>153</v>
      </c>
      <c r="AA1132" s="1">
        <v>1469988.41</v>
      </c>
      <c r="AB1132" s="1" t="s">
        <v>962</v>
      </c>
      <c r="AC1132" s="5">
        <v>44148</v>
      </c>
      <c r="AF1132" s="1">
        <v>10014</v>
      </c>
      <c r="AI1132" s="1" t="s">
        <v>51</v>
      </c>
      <c r="AJ1132" s="1">
        <v>2020</v>
      </c>
      <c r="AK1132" s="1" t="s">
        <v>49</v>
      </c>
      <c r="AL1132" s="1">
        <v>170</v>
      </c>
    </row>
    <row r="1133" spans="1:38" x14ac:dyDescent="0.2">
      <c r="A1133" s="2" t="str">
        <f>HYPERLINK("https://www.compass.com/listing/110-charlton-street-unit-11g-manhattan-ny-10014/674616445887301865/","110 Charlton St, Unit 11G")</f>
        <v>110 Charlton St, Unit 11G</v>
      </c>
      <c r="B1133" s="2" t="str">
        <f t="shared" si="157"/>
        <v>Greenwich West</v>
      </c>
      <c r="C1133" s="1" t="s">
        <v>72</v>
      </c>
      <c r="D1133" s="1" t="s">
        <v>41</v>
      </c>
      <c r="E1133" s="3">
        <v>1650000</v>
      </c>
      <c r="Q1133" s="1" t="s">
        <v>42</v>
      </c>
      <c r="S1133" s="1" t="s">
        <v>42</v>
      </c>
      <c r="T1133" s="1" t="s">
        <v>153</v>
      </c>
      <c r="AA1133" s="1">
        <v>1650000</v>
      </c>
      <c r="AB1133" s="1" t="s">
        <v>963</v>
      </c>
      <c r="AC1133" s="5">
        <v>44160</v>
      </c>
      <c r="AF1133" s="1">
        <v>10014</v>
      </c>
      <c r="AI1133" s="1" t="s">
        <v>51</v>
      </c>
      <c r="AJ1133" s="1">
        <v>2020</v>
      </c>
      <c r="AK1133" s="1" t="s">
        <v>49</v>
      </c>
      <c r="AL1133" s="1">
        <v>170</v>
      </c>
    </row>
    <row r="1134" spans="1:38" x14ac:dyDescent="0.2">
      <c r="A1134" s="2" t="str">
        <f>HYPERLINK("https://www.compass.com/listing/110-charlton-street-unit-12b-manhattan-ny-10014/679467477708740945/","110 Charlton St, Unit 12B")</f>
        <v>110 Charlton St, Unit 12B</v>
      </c>
      <c r="B1134" s="2" t="str">
        <f t="shared" si="157"/>
        <v>Greenwich West</v>
      </c>
      <c r="C1134" s="1" t="s">
        <v>72</v>
      </c>
      <c r="D1134" s="1" t="s">
        <v>41</v>
      </c>
      <c r="E1134" s="3">
        <v>1499621</v>
      </c>
      <c r="Q1134" s="1" t="s">
        <v>42</v>
      </c>
      <c r="S1134" s="1" t="s">
        <v>42</v>
      </c>
      <c r="T1134" s="1" t="s">
        <v>153</v>
      </c>
      <c r="AA1134" s="1">
        <v>1499621.09</v>
      </c>
      <c r="AB1134" s="1" t="s">
        <v>964</v>
      </c>
      <c r="AC1134" s="5">
        <v>44158</v>
      </c>
      <c r="AF1134" s="1">
        <v>10014</v>
      </c>
      <c r="AI1134" s="1" t="s">
        <v>51</v>
      </c>
      <c r="AJ1134" s="1">
        <v>2020</v>
      </c>
      <c r="AK1134" s="1" t="s">
        <v>49</v>
      </c>
      <c r="AL1134" s="1">
        <v>170</v>
      </c>
    </row>
    <row r="1135" spans="1:38" x14ac:dyDescent="0.2">
      <c r="A1135" s="2" t="str">
        <f>HYPERLINK("https://www.compass.com/listing/110-charlton-street-unit-10e-manhattan-ny-10014/700221970714748977/","110 Charlton St, Unit 10E")</f>
        <v>110 Charlton St, Unit 10E</v>
      </c>
      <c r="B1135" s="2" t="str">
        <f t="shared" si="157"/>
        <v>Greenwich West</v>
      </c>
      <c r="C1135" s="1" t="s">
        <v>72</v>
      </c>
      <c r="D1135" s="1" t="s">
        <v>41</v>
      </c>
      <c r="E1135" s="3">
        <v>1400851</v>
      </c>
      <c r="Q1135" s="1" t="s">
        <v>42</v>
      </c>
      <c r="S1135" s="1" t="s">
        <v>42</v>
      </c>
      <c r="T1135" s="1" t="s">
        <v>153</v>
      </c>
      <c r="AA1135" s="1">
        <v>1400850.84</v>
      </c>
      <c r="AB1135" s="1" t="s">
        <v>965</v>
      </c>
      <c r="AC1135" s="5">
        <v>44154</v>
      </c>
      <c r="AF1135" s="1">
        <v>10014</v>
      </c>
      <c r="AI1135" s="1" t="s">
        <v>51</v>
      </c>
      <c r="AJ1135" s="1">
        <v>2020</v>
      </c>
      <c r="AK1135" s="1" t="s">
        <v>49</v>
      </c>
      <c r="AL1135" s="1">
        <v>170</v>
      </c>
    </row>
    <row r="1136" spans="1:38" x14ac:dyDescent="0.2">
      <c r="A1136" s="2" t="str">
        <f>HYPERLINK("https://www.compass.com/listing/110-charlton-street-unit-14g-manhattan-ny-10014/771472441153733577/","110 Charlton St, Unit 14G")</f>
        <v>110 Charlton St, Unit 14G</v>
      </c>
      <c r="B1136" s="2" t="str">
        <f t="shared" si="157"/>
        <v>Greenwich West</v>
      </c>
      <c r="C1136" s="1" t="s">
        <v>72</v>
      </c>
      <c r="D1136" s="1" t="s">
        <v>41</v>
      </c>
      <c r="E1136" s="3">
        <v>1688454</v>
      </c>
      <c r="Q1136" s="1" t="s">
        <v>42</v>
      </c>
      <c r="S1136" s="1" t="s">
        <v>42</v>
      </c>
      <c r="T1136" s="1" t="s">
        <v>153</v>
      </c>
      <c r="AA1136" s="1">
        <v>1688453.75</v>
      </c>
      <c r="AB1136" s="1" t="s">
        <v>966</v>
      </c>
      <c r="AC1136" s="5">
        <v>44302</v>
      </c>
      <c r="AF1136" s="1">
        <v>10014</v>
      </c>
      <c r="AI1136" s="1" t="s">
        <v>51</v>
      </c>
      <c r="AJ1136" s="1">
        <v>2020</v>
      </c>
      <c r="AK1136" s="1" t="s">
        <v>49</v>
      </c>
      <c r="AL1136" s="1">
        <v>170</v>
      </c>
    </row>
    <row r="1137" spans="1:38" x14ac:dyDescent="0.2">
      <c r="A1137" s="2" t="str">
        <f>HYPERLINK("https://www.compass.com/listing/110-charlton-street-unit-21b-manhattan-ny-10014/650203132874554137/","110 Charlton St, Unit 21B")</f>
        <v>110 Charlton St, Unit 21B</v>
      </c>
      <c r="B1137" s="2" t="str">
        <f t="shared" si="157"/>
        <v>Greenwich West</v>
      </c>
      <c r="C1137" s="1" t="s">
        <v>72</v>
      </c>
      <c r="D1137" s="1" t="s">
        <v>41</v>
      </c>
      <c r="E1137" s="3">
        <v>4060650</v>
      </c>
      <c r="Q1137" s="1" t="s">
        <v>42</v>
      </c>
      <c r="S1137" s="1" t="s">
        <v>42</v>
      </c>
      <c r="T1137" s="1" t="s">
        <v>153</v>
      </c>
      <c r="AA1137" s="1">
        <v>4060650</v>
      </c>
      <c r="AB1137" s="1" t="s">
        <v>967</v>
      </c>
      <c r="AC1137" s="5">
        <v>44133</v>
      </c>
      <c r="AF1137" s="1">
        <v>10014</v>
      </c>
      <c r="AI1137" s="1" t="s">
        <v>51</v>
      </c>
      <c r="AJ1137" s="1">
        <v>2020</v>
      </c>
      <c r="AK1137" s="1" t="s">
        <v>49</v>
      </c>
      <c r="AL1137" s="1">
        <v>170</v>
      </c>
    </row>
    <row r="1138" spans="1:38" x14ac:dyDescent="0.2">
      <c r="A1138" s="2" t="str">
        <f>HYPERLINK("https://www.compass.com/listing/110-charlton-street-unit-20a-manhattan-ny-10014/658443633114455081/","110 Charlton St, Unit 20A")</f>
        <v>110 Charlton St, Unit 20A</v>
      </c>
      <c r="B1138" s="2" t="str">
        <f t="shared" si="157"/>
        <v>Greenwich West</v>
      </c>
      <c r="C1138" s="1" t="s">
        <v>72</v>
      </c>
      <c r="D1138" s="1" t="s">
        <v>41</v>
      </c>
      <c r="E1138" s="3">
        <v>3680000</v>
      </c>
      <c r="Q1138" s="1" t="s">
        <v>42</v>
      </c>
      <c r="S1138" s="1" t="s">
        <v>42</v>
      </c>
      <c r="T1138" s="1" t="s">
        <v>153</v>
      </c>
      <c r="AA1138" s="1">
        <v>3680000</v>
      </c>
      <c r="AB1138" s="1" t="s">
        <v>968</v>
      </c>
      <c r="AC1138" s="5">
        <v>44147</v>
      </c>
      <c r="AF1138" s="1">
        <v>10014</v>
      </c>
      <c r="AI1138" s="1" t="s">
        <v>51</v>
      </c>
      <c r="AJ1138" s="1">
        <v>2020</v>
      </c>
      <c r="AK1138" s="1" t="s">
        <v>49</v>
      </c>
      <c r="AL1138" s="1">
        <v>170</v>
      </c>
    </row>
    <row r="1139" spans="1:38" x14ac:dyDescent="0.2">
      <c r="A1139" s="2" t="str">
        <f>HYPERLINK("https://www.compass.com/listing/110-charlton-street-unit-12c-manhattan-ny-10014/759133089028205473/","110 Charlton St, Unit 12C")</f>
        <v>110 Charlton St, Unit 12C</v>
      </c>
      <c r="B1139" s="2" t="str">
        <f t="shared" si="157"/>
        <v>Greenwich West</v>
      </c>
      <c r="C1139" s="1" t="s">
        <v>72</v>
      </c>
      <c r="D1139" s="1" t="s">
        <v>41</v>
      </c>
      <c r="E1139" s="3">
        <v>3155000</v>
      </c>
      <c r="Q1139" s="1" t="s">
        <v>42</v>
      </c>
      <c r="S1139" s="1" t="s">
        <v>42</v>
      </c>
      <c r="T1139" s="1" t="s">
        <v>153</v>
      </c>
      <c r="AA1139" s="1">
        <v>3155000</v>
      </c>
      <c r="AB1139" s="1" t="s">
        <v>969</v>
      </c>
      <c r="AC1139" s="5">
        <v>44291</v>
      </c>
      <c r="AF1139" s="1">
        <v>10014</v>
      </c>
      <c r="AI1139" s="1" t="s">
        <v>51</v>
      </c>
      <c r="AJ1139" s="1">
        <v>2020</v>
      </c>
      <c r="AK1139" s="1" t="s">
        <v>49</v>
      </c>
      <c r="AL1139" s="1">
        <v>170</v>
      </c>
    </row>
    <row r="1140" spans="1:38" x14ac:dyDescent="0.2">
      <c r="A1140" s="2" t="str">
        <f>HYPERLINK("https://www.compass.com/listing/110-charlton-street-unit-10c-manhattan-ny-10014/774347764853946689/","110 Charlton St, Unit 10C")</f>
        <v>110 Charlton St, Unit 10C</v>
      </c>
      <c r="B1140" s="2" t="str">
        <f t="shared" si="157"/>
        <v>Greenwich West</v>
      </c>
      <c r="C1140" s="1" t="s">
        <v>72</v>
      </c>
      <c r="D1140" s="1" t="s">
        <v>41</v>
      </c>
      <c r="E1140" s="3">
        <v>3075000</v>
      </c>
      <c r="Q1140" s="1" t="s">
        <v>42</v>
      </c>
      <c r="S1140" s="1" t="s">
        <v>42</v>
      </c>
      <c r="T1140" s="1" t="s">
        <v>153</v>
      </c>
      <c r="AA1140" s="1">
        <v>3075000</v>
      </c>
      <c r="AB1140" s="1" t="s">
        <v>970</v>
      </c>
      <c r="AC1140" s="5">
        <v>44280</v>
      </c>
      <c r="AF1140" s="1">
        <v>10014</v>
      </c>
      <c r="AI1140" s="1" t="s">
        <v>51</v>
      </c>
      <c r="AJ1140" s="1">
        <v>2020</v>
      </c>
      <c r="AK1140" s="1" t="s">
        <v>49</v>
      </c>
      <c r="AL1140" s="1">
        <v>170</v>
      </c>
    </row>
    <row r="1141" spans="1:38" x14ac:dyDescent="0.2">
      <c r="A1141" s="2" t="str">
        <f>HYPERLINK("https://www.compass.com/listing/110-charlton-street-unit-8d-manhattan-ny-10014/784504348246763521/","110 Charlton St, Unit 8D")</f>
        <v>110 Charlton St, Unit 8D</v>
      </c>
      <c r="B1141" s="2" t="str">
        <f t="shared" si="157"/>
        <v>Greenwich West</v>
      </c>
      <c r="C1141" s="1" t="s">
        <v>72</v>
      </c>
      <c r="D1141" s="1" t="s">
        <v>41</v>
      </c>
      <c r="E1141" s="3">
        <v>4125000</v>
      </c>
      <c r="Q1141" s="1" t="s">
        <v>42</v>
      </c>
      <c r="S1141" s="1" t="s">
        <v>42</v>
      </c>
      <c r="T1141" s="1" t="s">
        <v>153</v>
      </c>
      <c r="AA1141" s="1">
        <v>4125000</v>
      </c>
      <c r="AB1141" s="1" t="s">
        <v>971</v>
      </c>
      <c r="AC1141" s="5">
        <v>44313</v>
      </c>
      <c r="AF1141" s="1">
        <v>10014</v>
      </c>
      <c r="AI1141" s="1" t="s">
        <v>51</v>
      </c>
      <c r="AJ1141" s="1">
        <v>2020</v>
      </c>
      <c r="AK1141" s="1" t="s">
        <v>49</v>
      </c>
      <c r="AL1141" s="1">
        <v>170</v>
      </c>
    </row>
    <row r="1142" spans="1:38" x14ac:dyDescent="0.2">
      <c r="A1142" s="2" t="str">
        <f>HYPERLINK("https://www.compass.com/listing/110-charlton-street-unit-20h-manhattan-ny-10014/665022518821066137/","110 Charlton St, Unit 20H")</f>
        <v>110 Charlton St, Unit 20H</v>
      </c>
      <c r="B1142" s="2" t="str">
        <f t="shared" si="157"/>
        <v>Greenwich West</v>
      </c>
      <c r="C1142" s="1" t="s">
        <v>72</v>
      </c>
      <c r="D1142" s="1" t="s">
        <v>41</v>
      </c>
      <c r="E1142" s="3">
        <v>2569240</v>
      </c>
      <c r="Q1142" s="1" t="s">
        <v>42</v>
      </c>
      <c r="S1142" s="1" t="s">
        <v>42</v>
      </c>
      <c r="T1142" s="1" t="s">
        <v>153</v>
      </c>
      <c r="AA1142" s="1">
        <v>2569240</v>
      </c>
      <c r="AB1142" s="1" t="s">
        <v>972</v>
      </c>
      <c r="AC1142" s="5">
        <v>44148</v>
      </c>
      <c r="AF1142" s="1">
        <v>10014</v>
      </c>
      <c r="AI1142" s="1" t="s">
        <v>51</v>
      </c>
      <c r="AJ1142" s="1">
        <v>2020</v>
      </c>
      <c r="AK1142" s="1" t="s">
        <v>49</v>
      </c>
      <c r="AL1142" s="1">
        <v>170</v>
      </c>
    </row>
    <row r="1143" spans="1:38" x14ac:dyDescent="0.2">
      <c r="A1143" s="2" t="str">
        <f>HYPERLINK("https://www.compass.com/listing/110-charlton-street-unit-18h-manhattan-ny-10014/683814342025808521/","110 Charlton St, Unit 18H")</f>
        <v>110 Charlton St, Unit 18H</v>
      </c>
      <c r="B1143" s="2" t="str">
        <f t="shared" si="157"/>
        <v>Greenwich West</v>
      </c>
      <c r="C1143" s="1" t="s">
        <v>72</v>
      </c>
      <c r="D1143" s="1" t="s">
        <v>41</v>
      </c>
      <c r="E1143" s="3">
        <v>2460000</v>
      </c>
      <c r="Q1143" s="1" t="s">
        <v>42</v>
      </c>
      <c r="S1143" s="1" t="s">
        <v>42</v>
      </c>
      <c r="T1143" s="1" t="s">
        <v>153</v>
      </c>
      <c r="AA1143" s="1">
        <v>2460000</v>
      </c>
      <c r="AB1143" s="1" t="s">
        <v>973</v>
      </c>
      <c r="AC1143" s="5">
        <v>44148</v>
      </c>
      <c r="AF1143" s="1">
        <v>10014</v>
      </c>
      <c r="AI1143" s="1" t="s">
        <v>51</v>
      </c>
      <c r="AJ1143" s="1">
        <v>2020</v>
      </c>
      <c r="AK1143" s="1" t="s">
        <v>49</v>
      </c>
      <c r="AL1143" s="1">
        <v>170</v>
      </c>
    </row>
    <row r="1144" spans="1:38" x14ac:dyDescent="0.2">
      <c r="A1144" s="2" t="str">
        <f>HYPERLINK("https://www.compass.com/listing/110-charlton-street-unit-27e-manhattan-ny-10014/764208352076112257/","110 Charlton St, Unit 27E")</f>
        <v>110 Charlton St, Unit 27E</v>
      </c>
      <c r="B1144" s="2" t="str">
        <f t="shared" si="157"/>
        <v>Greenwich West</v>
      </c>
      <c r="C1144" s="1" t="s">
        <v>72</v>
      </c>
      <c r="D1144" s="1" t="s">
        <v>41</v>
      </c>
      <c r="E1144" s="3">
        <v>2780000</v>
      </c>
      <c r="Q1144" s="1" t="s">
        <v>42</v>
      </c>
      <c r="S1144" s="1" t="s">
        <v>42</v>
      </c>
      <c r="T1144" s="1" t="s">
        <v>153</v>
      </c>
      <c r="AA1144" s="1">
        <v>2780000</v>
      </c>
      <c r="AB1144" s="1" t="s">
        <v>974</v>
      </c>
      <c r="AC1144" s="5">
        <v>44270</v>
      </c>
      <c r="AF1144" s="1">
        <v>10014</v>
      </c>
      <c r="AI1144" s="1" t="s">
        <v>51</v>
      </c>
      <c r="AJ1144" s="1">
        <v>2020</v>
      </c>
      <c r="AK1144" s="1" t="s">
        <v>49</v>
      </c>
      <c r="AL1144" s="1">
        <v>170</v>
      </c>
    </row>
    <row r="1145" spans="1:38" x14ac:dyDescent="0.2">
      <c r="A1145" s="2" t="str">
        <f>HYPERLINK("https://www.compass.com/listing/110-charlton-street-unit-23e-manhattan-ny-10014/770015936071381433/","110 Charlton St, Unit 23E")</f>
        <v>110 Charlton St, Unit 23E</v>
      </c>
      <c r="B1145" s="2" t="str">
        <f t="shared" si="157"/>
        <v>Greenwich West</v>
      </c>
      <c r="C1145" s="1" t="s">
        <v>72</v>
      </c>
      <c r="D1145" s="1" t="s">
        <v>41</v>
      </c>
      <c r="E1145" s="3">
        <v>2620000</v>
      </c>
      <c r="Q1145" s="1" t="s">
        <v>42</v>
      </c>
      <c r="S1145" s="1" t="s">
        <v>42</v>
      </c>
      <c r="T1145" s="1" t="s">
        <v>153</v>
      </c>
      <c r="AA1145" s="1">
        <v>2620000</v>
      </c>
      <c r="AB1145" s="1" t="s">
        <v>975</v>
      </c>
      <c r="AC1145" s="5">
        <v>44272</v>
      </c>
      <c r="AF1145" s="1">
        <v>10014</v>
      </c>
      <c r="AI1145" s="1" t="s">
        <v>51</v>
      </c>
      <c r="AJ1145" s="1">
        <v>2020</v>
      </c>
      <c r="AK1145" s="1" t="s">
        <v>49</v>
      </c>
      <c r="AL1145" s="1">
        <v>170</v>
      </c>
    </row>
    <row r="1146" spans="1:38" x14ac:dyDescent="0.2">
      <c r="A1146" s="2" t="str">
        <f>HYPERLINK("https://www.compass.com/listing/110-charlton-street-unit-16a-manhattan-ny-10014/811310407538193825/","110 Charlton St, Unit 16A")</f>
        <v>110 Charlton St, Unit 16A</v>
      </c>
      <c r="B1146" s="2" t="str">
        <f t="shared" si="157"/>
        <v>Greenwich West</v>
      </c>
      <c r="C1146" s="1" t="s">
        <v>72</v>
      </c>
      <c r="D1146" s="1" t="s">
        <v>41</v>
      </c>
      <c r="E1146" s="3">
        <v>2682050</v>
      </c>
      <c r="Q1146" s="1" t="s">
        <v>42</v>
      </c>
      <c r="S1146" s="1" t="s">
        <v>42</v>
      </c>
      <c r="T1146" s="1" t="s">
        <v>153</v>
      </c>
      <c r="AA1146" s="1">
        <v>2682050</v>
      </c>
      <c r="AB1146" s="1" t="s">
        <v>976</v>
      </c>
      <c r="AC1146" s="5">
        <v>44351</v>
      </c>
      <c r="AF1146" s="1">
        <v>10014</v>
      </c>
      <c r="AI1146" s="1" t="s">
        <v>51</v>
      </c>
      <c r="AJ1146" s="1">
        <v>2020</v>
      </c>
      <c r="AK1146" s="1" t="s">
        <v>49</v>
      </c>
      <c r="AL1146" s="1">
        <v>170</v>
      </c>
    </row>
    <row r="1147" spans="1:38" x14ac:dyDescent="0.2">
      <c r="A1147" s="2" t="str">
        <f>HYPERLINK("https://www.compass.com/listing/110-charlton-street-unit-17c-manhattan-ny-10014/827259893382120065/","110 Charlton St, Unit 17C")</f>
        <v>110 Charlton St, Unit 17C</v>
      </c>
      <c r="B1147" s="2" t="str">
        <f t="shared" si="157"/>
        <v>Greenwich West</v>
      </c>
      <c r="C1147" s="1" t="s">
        <v>72</v>
      </c>
      <c r="D1147" s="1" t="s">
        <v>41</v>
      </c>
      <c r="E1147" s="3">
        <v>2640000</v>
      </c>
      <c r="Q1147" s="1" t="s">
        <v>42</v>
      </c>
      <c r="S1147" s="1" t="s">
        <v>42</v>
      </c>
      <c r="T1147" s="1" t="s">
        <v>153</v>
      </c>
      <c r="AA1147" s="1">
        <v>2640000</v>
      </c>
      <c r="AB1147" s="1" t="s">
        <v>977</v>
      </c>
      <c r="AC1147" s="5">
        <v>44369</v>
      </c>
      <c r="AF1147" s="1">
        <v>10014</v>
      </c>
      <c r="AI1147" s="1" t="s">
        <v>51</v>
      </c>
      <c r="AJ1147" s="1">
        <v>2020</v>
      </c>
      <c r="AK1147" s="1" t="s">
        <v>49</v>
      </c>
      <c r="AL1147" s="1">
        <v>170</v>
      </c>
    </row>
    <row r="1148" spans="1:38" x14ac:dyDescent="0.2">
      <c r="A1148" s="2" t="str">
        <f>HYPERLINK("https://www.compass.com/listing/110-charlton-street-unit-10a-manhattan-ny-10014/848290337351508825/","110 Charlton St, Unit 10A")</f>
        <v>110 Charlton St, Unit 10A</v>
      </c>
      <c r="B1148" s="2" t="str">
        <f t="shared" si="157"/>
        <v>Greenwich West</v>
      </c>
      <c r="C1148" s="1" t="s">
        <v>72</v>
      </c>
      <c r="D1148" s="1" t="s">
        <v>41</v>
      </c>
      <c r="E1148" s="3">
        <v>2590000</v>
      </c>
      <c r="Q1148" s="1" t="s">
        <v>42</v>
      </c>
      <c r="S1148" s="1" t="s">
        <v>42</v>
      </c>
      <c r="T1148" s="1" t="s">
        <v>153</v>
      </c>
      <c r="AA1148" s="1">
        <v>2590000</v>
      </c>
      <c r="AB1148" s="1" t="s">
        <v>978</v>
      </c>
      <c r="AC1148" s="5">
        <v>44406</v>
      </c>
      <c r="AF1148" s="1">
        <v>10014</v>
      </c>
      <c r="AI1148" s="1" t="s">
        <v>51</v>
      </c>
      <c r="AJ1148" s="1">
        <v>2020</v>
      </c>
      <c r="AK1148" s="1" t="s">
        <v>49</v>
      </c>
      <c r="AL1148" s="1">
        <v>170</v>
      </c>
    </row>
    <row r="1149" spans="1:38" x14ac:dyDescent="0.2">
      <c r="A1149" s="2" t="str">
        <f>HYPERLINK("https://www.compass.com/listing/27-east-79th-street-unit-th-2-manhattan-ny-10075/81000068865410513/","27 E 79th St, Unit TH 2")</f>
        <v>27 E 79th St, Unit TH 2</v>
      </c>
      <c r="B1149" s="2" t="str">
        <f t="shared" ref="B1149:B1151" si="158">HYPERLINK("https://www.compass.com/building/27-e-79th-st-manhattan-ny-10075/282057858843965749/","27 E 79th St")</f>
        <v>27 E 79th St</v>
      </c>
      <c r="C1149" s="1" t="s">
        <v>98</v>
      </c>
      <c r="D1149" s="1" t="s">
        <v>41</v>
      </c>
      <c r="E1149" s="3">
        <v>16850000</v>
      </c>
      <c r="F1149" s="1">
        <v>3790.7761529808699</v>
      </c>
      <c r="G1149" s="1">
        <v>10.5</v>
      </c>
      <c r="H1149" s="1">
        <v>7</v>
      </c>
      <c r="I1149" s="1">
        <v>8</v>
      </c>
      <c r="J1149" s="1">
        <v>7.5</v>
      </c>
      <c r="K1149" s="1">
        <v>7</v>
      </c>
      <c r="L1149" s="1">
        <v>1</v>
      </c>
      <c r="M1149" s="4">
        <v>4445</v>
      </c>
      <c r="N1149" s="1">
        <v>11099</v>
      </c>
      <c r="O1149" s="1">
        <v>16463</v>
      </c>
      <c r="P1149" s="1">
        <v>5364</v>
      </c>
      <c r="Q1149" s="1" t="s">
        <v>42</v>
      </c>
      <c r="S1149" s="1" t="s">
        <v>42</v>
      </c>
      <c r="T1149" s="1" t="s">
        <v>153</v>
      </c>
      <c r="V1149" s="5">
        <v>44296</v>
      </c>
      <c r="W1149" s="5">
        <v>43363</v>
      </c>
      <c r="X1149" s="1">
        <v>16850000</v>
      </c>
      <c r="Y1149" s="1">
        <v>16850000</v>
      </c>
      <c r="Z1149" s="5">
        <v>43363</v>
      </c>
      <c r="AA1149" s="1">
        <v>16850000</v>
      </c>
      <c r="AB1149" s="1" t="s">
        <v>177</v>
      </c>
      <c r="AC1149" s="5">
        <v>44294</v>
      </c>
      <c r="AF1149" s="1">
        <v>10075</v>
      </c>
      <c r="AI1149" s="1" t="s">
        <v>979</v>
      </c>
      <c r="AJ1149" s="1">
        <v>2019</v>
      </c>
      <c r="AK1149" s="1" t="s">
        <v>46</v>
      </c>
      <c r="AL1149" s="1">
        <v>8</v>
      </c>
    </row>
    <row r="1150" spans="1:38" x14ac:dyDescent="0.2">
      <c r="A1150" s="2" t="str">
        <f>HYPERLINK("https://www.compass.com/listing/27-east-79th-street-unit-6-manhattan-ny-10075/29514354688819713/","27 E 79th St, Unit 6")</f>
        <v>27 E 79th St, Unit 6</v>
      </c>
      <c r="B1150" s="2" t="str">
        <f t="shared" si="158"/>
        <v>27 E 79th St</v>
      </c>
      <c r="C1150" s="1" t="s">
        <v>98</v>
      </c>
      <c r="D1150" s="1" t="s">
        <v>41</v>
      </c>
      <c r="E1150" s="3">
        <v>5500000</v>
      </c>
      <c r="F1150" s="1">
        <v>3728.81355932203</v>
      </c>
      <c r="G1150" s="1">
        <v>4</v>
      </c>
      <c r="H1150" s="1">
        <v>2</v>
      </c>
      <c r="I1150" s="1">
        <v>3</v>
      </c>
      <c r="J1150" s="1">
        <v>2.5</v>
      </c>
      <c r="K1150" s="1">
        <v>2</v>
      </c>
      <c r="L1150" s="1">
        <v>1</v>
      </c>
      <c r="M1150" s="4">
        <v>1475</v>
      </c>
      <c r="N1150" s="1">
        <v>3624</v>
      </c>
      <c r="O1150" s="1">
        <v>5367</v>
      </c>
      <c r="P1150" s="1">
        <v>1743</v>
      </c>
      <c r="Q1150" s="1" t="s">
        <v>42</v>
      </c>
      <c r="S1150" s="1" t="s">
        <v>42</v>
      </c>
      <c r="T1150" s="1" t="s">
        <v>153</v>
      </c>
      <c r="U1150" s="1">
        <v>6</v>
      </c>
      <c r="V1150" s="5">
        <v>44139</v>
      </c>
      <c r="W1150" s="5">
        <v>43227</v>
      </c>
      <c r="X1150" s="1">
        <v>5500000</v>
      </c>
      <c r="Y1150" s="1">
        <v>5600000</v>
      </c>
      <c r="Z1150" s="5">
        <v>43234</v>
      </c>
      <c r="AA1150" s="1">
        <v>5500000</v>
      </c>
      <c r="AB1150" s="1" t="s">
        <v>177</v>
      </c>
      <c r="AC1150" s="5">
        <v>44137</v>
      </c>
      <c r="AF1150" s="1">
        <v>10075</v>
      </c>
      <c r="AJ1150" s="1">
        <v>2019</v>
      </c>
      <c r="AK1150" s="1" t="s">
        <v>46</v>
      </c>
      <c r="AL1150" s="1">
        <v>8</v>
      </c>
    </row>
    <row r="1151" spans="1:38" x14ac:dyDescent="0.2">
      <c r="A1151" s="2" t="str">
        <f>HYPERLINK("https://www.compass.com/listing/27-east-79th-street-unit-5-manhattan-ny-10075/29514353078206945/","27 E 79th St, Unit 5")</f>
        <v>27 E 79th St, Unit 5</v>
      </c>
      <c r="B1151" s="2" t="str">
        <f t="shared" si="158"/>
        <v>27 E 79th St</v>
      </c>
      <c r="C1151" s="1" t="s">
        <v>98</v>
      </c>
      <c r="D1151" s="1" t="s">
        <v>41</v>
      </c>
      <c r="E1151" s="3">
        <v>5450000</v>
      </c>
      <c r="F1151" s="1">
        <v>3694.9152542372799</v>
      </c>
      <c r="G1151" s="1">
        <v>4.5</v>
      </c>
      <c r="H1151" s="1">
        <v>2</v>
      </c>
      <c r="I1151" s="1">
        <v>3</v>
      </c>
      <c r="J1151" s="1">
        <v>2.5</v>
      </c>
      <c r="K1151" s="1">
        <v>2</v>
      </c>
      <c r="L1151" s="1">
        <v>1</v>
      </c>
      <c r="M1151" s="4">
        <v>1475</v>
      </c>
      <c r="N1151" s="1">
        <v>3605</v>
      </c>
      <c r="O1151" s="1">
        <v>5340</v>
      </c>
      <c r="P1151" s="1">
        <v>1735</v>
      </c>
      <c r="Q1151" s="1" t="s">
        <v>42</v>
      </c>
      <c r="S1151" s="1" t="s">
        <v>42</v>
      </c>
      <c r="T1151" s="1" t="s">
        <v>153</v>
      </c>
      <c r="U1151" s="1">
        <v>266</v>
      </c>
      <c r="V1151" s="5">
        <v>44165</v>
      </c>
      <c r="W1151" s="5">
        <v>43076</v>
      </c>
      <c r="X1151" s="1">
        <v>5250000</v>
      </c>
      <c r="Y1151" s="1">
        <v>5450000</v>
      </c>
      <c r="Z1151" s="5">
        <v>43348</v>
      </c>
      <c r="AA1151" s="1">
        <v>5450000</v>
      </c>
      <c r="AB1151" s="1" t="s">
        <v>177</v>
      </c>
      <c r="AC1151" s="5">
        <v>44160</v>
      </c>
      <c r="AF1151" s="1">
        <v>10075</v>
      </c>
      <c r="AJ1151" s="1">
        <v>2019</v>
      </c>
      <c r="AK1151" s="1" t="s">
        <v>46</v>
      </c>
      <c r="AL1151" s="1">
        <v>8</v>
      </c>
    </row>
    <row r="1152" spans="1:38" x14ac:dyDescent="0.2">
      <c r="A1152" s="2" t="str">
        <f>HYPERLINK("https://www.compass.com/listing/176-east-82nd-street-unit-5-manhattan-ny-10028/627546797504046825/","176 E 82nd St, Unit 5")</f>
        <v>176 E 82nd St, Unit 5</v>
      </c>
      <c r="B1152" s="2" t="str">
        <f t="shared" ref="B1152:B1158" si="159">HYPERLINK("https://www.compass.com/building/etage-manhattan-ny/292891484586356869/","Etage")</f>
        <v>Etage</v>
      </c>
      <c r="C1152" s="1" t="s">
        <v>98</v>
      </c>
      <c r="D1152" s="1" t="s">
        <v>41</v>
      </c>
      <c r="E1152" s="3">
        <v>4500000</v>
      </c>
      <c r="F1152" s="1">
        <v>1897.93336145086</v>
      </c>
      <c r="G1152" s="1">
        <v>6</v>
      </c>
      <c r="H1152" s="1">
        <v>4</v>
      </c>
      <c r="I1152" s="1">
        <v>4</v>
      </c>
      <c r="J1152" s="1">
        <v>3.5</v>
      </c>
      <c r="K1152" s="1">
        <v>3</v>
      </c>
      <c r="L1152" s="1">
        <v>1</v>
      </c>
      <c r="M1152" s="4">
        <v>2371</v>
      </c>
      <c r="N1152" s="1">
        <v>626</v>
      </c>
      <c r="O1152" s="1">
        <v>3853</v>
      </c>
      <c r="P1152" s="1">
        <v>3227</v>
      </c>
      <c r="Q1152" s="1" t="s">
        <v>42</v>
      </c>
      <c r="S1152" s="1" t="s">
        <v>42</v>
      </c>
      <c r="T1152" s="1" t="s">
        <v>153</v>
      </c>
      <c r="U1152" s="1">
        <v>225</v>
      </c>
      <c r="V1152" s="5">
        <v>44399</v>
      </c>
      <c r="W1152" s="5">
        <v>44117</v>
      </c>
      <c r="Y1152" s="1">
        <v>4650000</v>
      </c>
      <c r="Z1152" s="5">
        <v>44342</v>
      </c>
      <c r="AA1152" s="1">
        <v>4500000</v>
      </c>
      <c r="AB1152" s="1" t="s">
        <v>177</v>
      </c>
      <c r="AC1152" s="5">
        <v>44396</v>
      </c>
      <c r="AF1152" s="1">
        <v>10028</v>
      </c>
      <c r="AI1152" s="1" t="s">
        <v>51</v>
      </c>
      <c r="AJ1152" s="1">
        <v>2018</v>
      </c>
      <c r="AK1152" s="1" t="s">
        <v>86</v>
      </c>
      <c r="AL1152" s="1">
        <v>9</v>
      </c>
    </row>
    <row r="1153" spans="1:38" x14ac:dyDescent="0.2">
      <c r="A1153" s="2" t="str">
        <f>HYPERLINK("https://www.compass.com/listing/176-east-82nd-street-unit-3-manhattan-ny-10028/409525661778724369/","176 E 82nd St, Unit 3")</f>
        <v>176 E 82nd St, Unit 3</v>
      </c>
      <c r="B1153" s="2" t="str">
        <f t="shared" si="159"/>
        <v>Etage</v>
      </c>
      <c r="C1153" s="1" t="s">
        <v>98</v>
      </c>
      <c r="D1153" s="1" t="s">
        <v>41</v>
      </c>
      <c r="E1153" s="3">
        <v>3995000</v>
      </c>
      <c r="F1153" s="1">
        <v>1684.9430619991499</v>
      </c>
      <c r="G1153" s="1">
        <v>6</v>
      </c>
      <c r="H1153" s="1">
        <v>4</v>
      </c>
      <c r="I1153" s="1">
        <v>4</v>
      </c>
      <c r="J1153" s="1">
        <v>3.5</v>
      </c>
      <c r="K1153" s="1">
        <v>3</v>
      </c>
      <c r="L1153" s="1">
        <v>1</v>
      </c>
      <c r="M1153" s="4">
        <v>2371</v>
      </c>
      <c r="N1153" s="1">
        <v>607</v>
      </c>
      <c r="O1153" s="1">
        <v>3730</v>
      </c>
      <c r="P1153" s="1">
        <v>3123</v>
      </c>
      <c r="Q1153" s="1" t="s">
        <v>42</v>
      </c>
      <c r="S1153" s="1" t="s">
        <v>42</v>
      </c>
      <c r="T1153" s="1" t="s">
        <v>153</v>
      </c>
      <c r="U1153" s="1">
        <v>93</v>
      </c>
      <c r="V1153" s="5">
        <v>44058</v>
      </c>
      <c r="W1153" s="5">
        <v>43816</v>
      </c>
      <c r="X1153" s="1">
        <v>3995000</v>
      </c>
      <c r="Y1153" s="1">
        <v>3995000</v>
      </c>
      <c r="Z1153" s="5">
        <v>43952</v>
      </c>
      <c r="AA1153" s="1">
        <v>3995000</v>
      </c>
      <c r="AB1153" s="1" t="s">
        <v>177</v>
      </c>
      <c r="AC1153" s="5">
        <v>44057</v>
      </c>
      <c r="AF1153" s="1">
        <v>10028</v>
      </c>
      <c r="AI1153" s="1" t="s">
        <v>51</v>
      </c>
      <c r="AJ1153" s="1">
        <v>2018</v>
      </c>
      <c r="AK1153" s="1" t="s">
        <v>86</v>
      </c>
      <c r="AL1153" s="1">
        <v>9</v>
      </c>
    </row>
    <row r="1154" spans="1:38" x14ac:dyDescent="0.2">
      <c r="A1154" s="2" t="str">
        <f>HYPERLINK("https://www.compass.com/listing/176-east-82nd-street-unit-2-manhattan-ny-10028/446619467599290353/","176 E 82nd St, Unit 2")</f>
        <v>176 E 82nd St, Unit 2</v>
      </c>
      <c r="B1154" s="2" t="str">
        <f t="shared" si="159"/>
        <v>Etage</v>
      </c>
      <c r="C1154" s="1" t="s">
        <v>98</v>
      </c>
      <c r="D1154" s="1" t="s">
        <v>41</v>
      </c>
      <c r="E1154" s="3">
        <v>4250000</v>
      </c>
      <c r="F1154" s="1">
        <v>1792.4926191480299</v>
      </c>
      <c r="G1154" s="1">
        <v>6</v>
      </c>
      <c r="H1154" s="1">
        <v>4</v>
      </c>
      <c r="I1154" s="1">
        <v>4</v>
      </c>
      <c r="J1154" s="1">
        <v>3.5</v>
      </c>
      <c r="K1154" s="1">
        <v>3</v>
      </c>
      <c r="L1154" s="1">
        <v>1</v>
      </c>
      <c r="M1154" s="4">
        <v>2371</v>
      </c>
      <c r="N1154" s="1">
        <v>596</v>
      </c>
      <c r="O1154" s="1">
        <v>3667</v>
      </c>
      <c r="P1154" s="1">
        <v>3071</v>
      </c>
      <c r="Q1154" s="1" t="s">
        <v>42</v>
      </c>
      <c r="S1154" s="1" t="s">
        <v>42</v>
      </c>
      <c r="T1154" s="1" t="s">
        <v>153</v>
      </c>
      <c r="U1154" s="1">
        <v>188</v>
      </c>
      <c r="V1154" s="5">
        <v>44001</v>
      </c>
      <c r="W1154" s="5">
        <v>43679</v>
      </c>
      <c r="X1154" s="1">
        <v>4250000</v>
      </c>
      <c r="Y1154" s="1">
        <v>4250000</v>
      </c>
      <c r="Z1154" s="5">
        <v>43867</v>
      </c>
      <c r="AA1154" s="1">
        <v>4250000</v>
      </c>
      <c r="AB1154" s="1" t="s">
        <v>177</v>
      </c>
      <c r="AC1154" s="5">
        <v>44000</v>
      </c>
      <c r="AF1154" s="1">
        <v>10028</v>
      </c>
      <c r="AI1154" s="1" t="s">
        <v>51</v>
      </c>
      <c r="AJ1154" s="1">
        <v>2018</v>
      </c>
      <c r="AK1154" s="1" t="s">
        <v>86</v>
      </c>
      <c r="AL1154" s="1">
        <v>9</v>
      </c>
    </row>
    <row r="1155" spans="1:38" x14ac:dyDescent="0.2">
      <c r="A1155" s="2" t="str">
        <f>HYPERLINK("https://www.compass.com/listing/176-east-82nd-street-unit-8-manhattan-ny-10028/455773870264395825/","176 E 82nd St, Unit 8")</f>
        <v>176 E 82nd St, Unit 8</v>
      </c>
      <c r="B1155" s="2" t="str">
        <f t="shared" si="159"/>
        <v>Etage</v>
      </c>
      <c r="C1155" s="1" t="s">
        <v>98</v>
      </c>
      <c r="D1155" s="1" t="s">
        <v>41</v>
      </c>
      <c r="E1155" s="3">
        <v>4750000</v>
      </c>
      <c r="F1155" s="1">
        <v>2003.37410375369</v>
      </c>
      <c r="G1155" s="1">
        <v>6</v>
      </c>
      <c r="H1155" s="1">
        <v>4</v>
      </c>
      <c r="I1155" s="1">
        <v>4</v>
      </c>
      <c r="J1155" s="1">
        <v>3.5</v>
      </c>
      <c r="K1155" s="1">
        <v>3</v>
      </c>
      <c r="L1155" s="1">
        <v>1</v>
      </c>
      <c r="M1155" s="4">
        <v>2371</v>
      </c>
      <c r="N1155" s="1">
        <v>675</v>
      </c>
      <c r="O1155" s="1">
        <v>4144</v>
      </c>
      <c r="P1155" s="1">
        <v>3469</v>
      </c>
      <c r="Q1155" s="1" t="s">
        <v>42</v>
      </c>
      <c r="S1155" s="1" t="s">
        <v>42</v>
      </c>
      <c r="T1155" s="1" t="s">
        <v>153</v>
      </c>
      <c r="U1155" s="1">
        <v>104</v>
      </c>
      <c r="V1155" s="5">
        <v>44254</v>
      </c>
      <c r="W1155" s="5">
        <v>43880</v>
      </c>
      <c r="X1155" s="1">
        <v>4750000</v>
      </c>
      <c r="Y1155" s="1">
        <v>4750000</v>
      </c>
      <c r="Z1155" s="5">
        <v>44079</v>
      </c>
      <c r="AA1155" s="1">
        <v>4750000</v>
      </c>
      <c r="AB1155" s="1" t="s">
        <v>177</v>
      </c>
      <c r="AC1155" s="5">
        <v>44253</v>
      </c>
      <c r="AF1155" s="1">
        <v>10028</v>
      </c>
      <c r="AI1155" s="1" t="s">
        <v>51</v>
      </c>
      <c r="AJ1155" s="1">
        <v>2018</v>
      </c>
      <c r="AK1155" s="1" t="s">
        <v>86</v>
      </c>
      <c r="AL1155" s="1">
        <v>9</v>
      </c>
    </row>
    <row r="1156" spans="1:38" x14ac:dyDescent="0.2">
      <c r="A1156" s="2" t="str">
        <f>HYPERLINK("https://www.compass.com/listing/176-east-82nd-street-unit-4-manhattan-ny-10028/474800247659561913/","176 E 82nd St, Unit 4")</f>
        <v>176 E 82nd St, Unit 4</v>
      </c>
      <c r="B1156" s="2" t="str">
        <f t="shared" si="159"/>
        <v>Etage</v>
      </c>
      <c r="C1156" s="1" t="s">
        <v>98</v>
      </c>
      <c r="D1156" s="1" t="s">
        <v>41</v>
      </c>
      <c r="E1156" s="3">
        <v>4650000</v>
      </c>
      <c r="F1156" s="1">
        <v>1961.19780683256</v>
      </c>
      <c r="G1156" s="1">
        <v>6</v>
      </c>
      <c r="H1156" s="1">
        <v>4</v>
      </c>
      <c r="I1156" s="1">
        <v>4</v>
      </c>
      <c r="J1156" s="1">
        <v>3.5</v>
      </c>
      <c r="K1156" s="1">
        <v>3</v>
      </c>
      <c r="L1156" s="1">
        <v>1</v>
      </c>
      <c r="M1156" s="4">
        <v>2371</v>
      </c>
      <c r="N1156" s="1">
        <v>617</v>
      </c>
      <c r="O1156" s="1">
        <v>3792</v>
      </c>
      <c r="P1156" s="1">
        <v>3175</v>
      </c>
      <c r="Q1156" s="1" t="s">
        <v>42</v>
      </c>
      <c r="S1156" s="1" t="s">
        <v>42</v>
      </c>
      <c r="T1156" s="1" t="s">
        <v>153</v>
      </c>
      <c r="V1156" s="5">
        <v>44008</v>
      </c>
      <c r="W1156" s="5">
        <v>43906</v>
      </c>
      <c r="X1156" s="1">
        <v>4650000</v>
      </c>
      <c r="Y1156" s="1">
        <v>4650000</v>
      </c>
      <c r="Z1156" s="5">
        <v>43906</v>
      </c>
      <c r="AA1156" s="1">
        <v>4650000</v>
      </c>
      <c r="AB1156" s="1" t="s">
        <v>177</v>
      </c>
      <c r="AC1156" s="5">
        <v>44006</v>
      </c>
      <c r="AF1156" s="1">
        <v>10028</v>
      </c>
      <c r="AI1156" s="1" t="s">
        <v>51</v>
      </c>
      <c r="AJ1156" s="1">
        <v>2018</v>
      </c>
      <c r="AK1156" s="1" t="s">
        <v>86</v>
      </c>
      <c r="AL1156" s="1">
        <v>9</v>
      </c>
    </row>
    <row r="1157" spans="1:38" x14ac:dyDescent="0.2">
      <c r="A1157" s="2" t="str">
        <f>HYPERLINK("https://www.compass.com/listing/176-east-82nd-street-unit-7-manhattan-ny-10028/403485557498924529/","176 E 82nd St, Unit 7")</f>
        <v>176 E 82nd St, Unit 7</v>
      </c>
      <c r="B1157" s="2" t="str">
        <f t="shared" si="159"/>
        <v>Etage</v>
      </c>
      <c r="C1157" s="1" t="s">
        <v>98</v>
      </c>
      <c r="D1157" s="1" t="s">
        <v>41</v>
      </c>
      <c r="E1157" s="3">
        <v>4500000</v>
      </c>
      <c r="F1157" s="1">
        <v>1897.93336145086</v>
      </c>
      <c r="G1157" s="1">
        <v>6</v>
      </c>
      <c r="H1157" s="1">
        <v>4</v>
      </c>
      <c r="I1157" s="1">
        <v>4</v>
      </c>
      <c r="J1157" s="1">
        <v>3.5</v>
      </c>
      <c r="K1157" s="1">
        <v>3</v>
      </c>
      <c r="L1157" s="1">
        <v>1</v>
      </c>
      <c r="M1157" s="4">
        <v>2371</v>
      </c>
      <c r="N1157" s="1">
        <v>653</v>
      </c>
      <c r="O1157" s="1">
        <v>4018</v>
      </c>
      <c r="P1157" s="1">
        <v>3365</v>
      </c>
      <c r="Q1157" s="1" t="s">
        <v>42</v>
      </c>
      <c r="S1157" s="1" t="s">
        <v>42</v>
      </c>
      <c r="T1157" s="1" t="s">
        <v>153</v>
      </c>
      <c r="V1157" s="5">
        <v>44392</v>
      </c>
      <c r="W1157" s="5">
        <v>43809</v>
      </c>
      <c r="X1157" s="1">
        <v>5150000</v>
      </c>
      <c r="Y1157" s="1">
        <v>5150000</v>
      </c>
      <c r="Z1157" s="5">
        <v>43809</v>
      </c>
      <c r="AA1157" s="1">
        <v>4500000</v>
      </c>
      <c r="AB1157" s="1" t="s">
        <v>177</v>
      </c>
      <c r="AC1157" s="5">
        <v>44040</v>
      </c>
      <c r="AF1157" s="1">
        <v>10028</v>
      </c>
      <c r="AI1157" s="1" t="s">
        <v>51</v>
      </c>
      <c r="AJ1157" s="1">
        <v>2018</v>
      </c>
      <c r="AK1157" s="1" t="s">
        <v>86</v>
      </c>
      <c r="AL1157" s="1">
        <v>9</v>
      </c>
    </row>
    <row r="1158" spans="1:38" x14ac:dyDescent="0.2">
      <c r="A1158" s="2" t="str">
        <f>HYPERLINK("https://www.compass.com/listing/176-east-82nd-street-unit-601-manhattan-ny-10028/843206372955622553/","176 E 82nd St, Unit 601")</f>
        <v>176 E 82nd St, Unit 601</v>
      </c>
      <c r="B1158" s="2" t="str">
        <f t="shared" si="159"/>
        <v>Etage</v>
      </c>
      <c r="C1158" s="1" t="s">
        <v>98</v>
      </c>
      <c r="D1158" s="1" t="s">
        <v>41</v>
      </c>
      <c r="E1158" s="3">
        <v>3369896</v>
      </c>
      <c r="Q1158" s="1" t="s">
        <v>42</v>
      </c>
      <c r="S1158" s="1" t="s">
        <v>42</v>
      </c>
      <c r="T1158" s="1" t="s">
        <v>153</v>
      </c>
      <c r="AA1158" s="1">
        <v>3369895.86</v>
      </c>
      <c r="AB1158" s="1" t="s">
        <v>980</v>
      </c>
      <c r="AC1158" s="5">
        <v>44396</v>
      </c>
      <c r="AF1158" s="1">
        <v>10028</v>
      </c>
      <c r="AI1158" s="1" t="s">
        <v>51</v>
      </c>
      <c r="AJ1158" s="1">
        <v>2018</v>
      </c>
      <c r="AK1158" s="1" t="s">
        <v>99</v>
      </c>
      <c r="AL1158" s="1">
        <v>9</v>
      </c>
    </row>
    <row r="1159" spans="1:38" x14ac:dyDescent="0.2">
      <c r="A1159" s="2" t="str">
        <f>HYPERLINK("https://www.compass.com/listing/558-west-150th-street-unit-102-manhattan-ny-10031/312808818228455569/","558 W 150th St, Unit 102")</f>
        <v>558 W 150th St, Unit 102</v>
      </c>
      <c r="B1159" s="2" t="str">
        <f>HYPERLINK("https://www.compass.com/building/558-w-150th-st-manhattan-ny-10031/282001449523736021/","558 W 150th St")</f>
        <v>558 W 150th St</v>
      </c>
      <c r="C1159" s="1" t="s">
        <v>82</v>
      </c>
      <c r="D1159" s="1" t="s">
        <v>41</v>
      </c>
      <c r="E1159" s="3">
        <v>680000</v>
      </c>
      <c r="F1159" s="1">
        <v>599.118942731277</v>
      </c>
      <c r="G1159" s="1">
        <v>2</v>
      </c>
      <c r="H1159" s="1" t="s">
        <v>94</v>
      </c>
      <c r="I1159" s="1">
        <v>2</v>
      </c>
      <c r="J1159" s="1">
        <v>1.5</v>
      </c>
      <c r="K1159" s="1">
        <v>1</v>
      </c>
      <c r="L1159" s="1">
        <v>1</v>
      </c>
      <c r="M1159" s="4">
        <v>1135</v>
      </c>
      <c r="N1159" s="1">
        <v>154</v>
      </c>
      <c r="O1159" s="1">
        <v>263</v>
      </c>
      <c r="P1159" s="1">
        <v>109</v>
      </c>
      <c r="Q1159" s="1" t="s">
        <v>42</v>
      </c>
      <c r="S1159" s="1" t="s">
        <v>42</v>
      </c>
      <c r="T1159" s="1" t="s">
        <v>153</v>
      </c>
      <c r="U1159" s="1">
        <v>70</v>
      </c>
      <c r="V1159" s="5">
        <v>43993</v>
      </c>
      <c r="W1159" s="5">
        <v>43683</v>
      </c>
      <c r="X1159" s="1">
        <v>699000</v>
      </c>
      <c r="Y1159" s="1">
        <v>699000</v>
      </c>
      <c r="Z1159" s="5">
        <v>43852</v>
      </c>
      <c r="AA1159" s="1">
        <v>680000</v>
      </c>
      <c r="AB1159" s="1" t="s">
        <v>981</v>
      </c>
      <c r="AC1159" s="5">
        <v>43987</v>
      </c>
      <c r="AF1159" s="1">
        <v>10031</v>
      </c>
      <c r="AI1159" s="1" t="s">
        <v>982</v>
      </c>
      <c r="AJ1159" s="1">
        <v>1910</v>
      </c>
      <c r="AL1159" s="1">
        <v>8</v>
      </c>
    </row>
    <row r="1160" spans="1:38" x14ac:dyDescent="0.2">
      <c r="A1160" s="2" t="str">
        <f>HYPERLINK("https://www.compass.com/listing/441-convent-avenue-unit-5g-manhattan-ny-10031/4794431175915483137/","441 Convent Ave, Unit 5G")</f>
        <v>441 Convent Ave, Unit 5G</v>
      </c>
      <c r="B1160" s="2" t="str">
        <f t="shared" ref="B1160:B1161" si="160">HYPERLINK("https://www.compass.com/building/441-convent-ave-manhattan-ny-10031/281997455145425477/","441 Convent Ave")</f>
        <v>441 Convent Ave</v>
      </c>
      <c r="C1160" s="1" t="s">
        <v>82</v>
      </c>
      <c r="D1160" s="1" t="s">
        <v>41</v>
      </c>
      <c r="E1160" s="3">
        <v>632000</v>
      </c>
      <c r="F1160" s="1">
        <v>850.60565275908402</v>
      </c>
      <c r="G1160" s="1">
        <v>3</v>
      </c>
      <c r="H1160" s="1">
        <v>1</v>
      </c>
      <c r="I1160" s="1">
        <v>1</v>
      </c>
      <c r="J1160" s="1">
        <v>1</v>
      </c>
      <c r="M1160" s="1">
        <v>743</v>
      </c>
      <c r="N1160" s="1">
        <v>484</v>
      </c>
      <c r="O1160" s="1">
        <v>735</v>
      </c>
      <c r="P1160" s="1">
        <v>251</v>
      </c>
      <c r="Q1160" s="1" t="s">
        <v>42</v>
      </c>
      <c r="S1160" s="1" t="s">
        <v>42</v>
      </c>
      <c r="T1160" s="1" t="s">
        <v>153</v>
      </c>
      <c r="V1160" s="5">
        <v>43657</v>
      </c>
      <c r="W1160" s="5">
        <v>43141</v>
      </c>
      <c r="X1160" s="1">
        <v>632000</v>
      </c>
      <c r="Y1160" s="1">
        <v>632000</v>
      </c>
      <c r="Z1160" s="5">
        <v>43141</v>
      </c>
      <c r="AA1160" s="1">
        <v>632000</v>
      </c>
      <c r="AB1160" s="1" t="s">
        <v>983</v>
      </c>
      <c r="AC1160" s="5">
        <v>43305</v>
      </c>
      <c r="AF1160" s="1">
        <v>10031</v>
      </c>
      <c r="AJ1160" s="1">
        <v>1951</v>
      </c>
      <c r="AL1160" s="1">
        <v>90</v>
      </c>
    </row>
    <row r="1161" spans="1:38" x14ac:dyDescent="0.2">
      <c r="A1161" s="2" t="str">
        <f>HYPERLINK("https://www.compass.com/listing/441-convent-avenue-unit-3o-manhattan-ny-10031/4792259131262131393/","441 Convent Ave, Unit 3O")</f>
        <v>441 Convent Ave, Unit 3O</v>
      </c>
      <c r="B1161" s="2" t="str">
        <f t="shared" si="160"/>
        <v>441 Convent Ave</v>
      </c>
      <c r="C1161" s="1" t="s">
        <v>82</v>
      </c>
      <c r="D1161" s="1" t="s">
        <v>41</v>
      </c>
      <c r="E1161" s="3">
        <v>648980</v>
      </c>
      <c r="F1161" s="1">
        <v>793.37408312958405</v>
      </c>
      <c r="G1161" s="1">
        <v>4</v>
      </c>
      <c r="H1161" s="1">
        <v>2</v>
      </c>
      <c r="I1161" s="1">
        <v>1</v>
      </c>
      <c r="J1161" s="1">
        <v>1</v>
      </c>
      <c r="M1161" s="1">
        <v>818</v>
      </c>
      <c r="N1161" s="1">
        <v>524</v>
      </c>
      <c r="O1161" s="1">
        <v>796</v>
      </c>
      <c r="P1161" s="1">
        <v>272</v>
      </c>
      <c r="Q1161" s="1" t="s">
        <v>42</v>
      </c>
      <c r="S1161" s="1" t="s">
        <v>42</v>
      </c>
      <c r="T1161" s="1" t="s">
        <v>153</v>
      </c>
      <c r="V1161" s="5">
        <v>43647</v>
      </c>
      <c r="W1161" s="5">
        <v>43137</v>
      </c>
      <c r="X1161" s="1">
        <v>663000</v>
      </c>
      <c r="Y1161" s="1">
        <v>663000</v>
      </c>
      <c r="Z1161" s="5">
        <v>43137</v>
      </c>
      <c r="AA1161" s="1">
        <v>648980</v>
      </c>
      <c r="AB1161" s="1" t="s">
        <v>984</v>
      </c>
      <c r="AC1161" s="5">
        <v>43295</v>
      </c>
      <c r="AF1161" s="1">
        <v>10031</v>
      </c>
      <c r="AJ1161" s="1">
        <v>1951</v>
      </c>
      <c r="AL1161" s="1">
        <v>90</v>
      </c>
    </row>
    <row r="1162" spans="1:38" x14ac:dyDescent="0.2">
      <c r="A1162" s="2" t="str">
        <f>HYPERLINK("https://www.compass.com/listing/558-west-150th-street-unit-301-manhattan-ny-10031/213574521507103169/","558 W 150th St, Unit 301")</f>
        <v>558 W 150th St, Unit 301</v>
      </c>
      <c r="B1162" s="2" t="str">
        <f t="shared" ref="B1162:B1164" si="161">HYPERLINK("https://www.compass.com/building/558-w-150th-st-manhattan-ny-10031/282001449523736021/","558 W 150th St")</f>
        <v>558 W 150th St</v>
      </c>
      <c r="C1162" s="1" t="s">
        <v>82</v>
      </c>
      <c r="D1162" s="1" t="s">
        <v>41</v>
      </c>
      <c r="E1162" s="3">
        <v>800000</v>
      </c>
      <c r="F1162" s="1">
        <v>1032.2580645161199</v>
      </c>
      <c r="G1162" s="1">
        <v>3</v>
      </c>
      <c r="H1162" s="1">
        <v>1</v>
      </c>
      <c r="I1162" s="1">
        <v>1</v>
      </c>
      <c r="J1162" s="1">
        <v>1</v>
      </c>
      <c r="K1162" s="1">
        <v>1</v>
      </c>
      <c r="M1162" s="1">
        <v>775</v>
      </c>
      <c r="N1162" s="1">
        <v>374</v>
      </c>
      <c r="O1162" s="1">
        <v>637</v>
      </c>
      <c r="P1162" s="1">
        <v>263</v>
      </c>
      <c r="Q1162" s="1" t="s">
        <v>42</v>
      </c>
      <c r="S1162" s="1" t="s">
        <v>42</v>
      </c>
      <c r="T1162" s="1" t="s">
        <v>153</v>
      </c>
      <c r="U1162" s="1">
        <v>9</v>
      </c>
      <c r="V1162" s="5">
        <v>43759</v>
      </c>
      <c r="W1162" s="5">
        <v>43547</v>
      </c>
      <c r="X1162" s="1">
        <v>800000</v>
      </c>
      <c r="Y1162" s="1">
        <v>800000</v>
      </c>
      <c r="Z1162" s="5">
        <v>43556</v>
      </c>
      <c r="AA1162" s="1">
        <v>800000</v>
      </c>
      <c r="AB1162" s="1" t="s">
        <v>985</v>
      </c>
      <c r="AC1162" s="5">
        <v>43746</v>
      </c>
      <c r="AF1162" s="1">
        <v>10031</v>
      </c>
      <c r="AI1162" s="1" t="s">
        <v>110</v>
      </c>
      <c r="AJ1162" s="1">
        <v>1910</v>
      </c>
      <c r="AL1162" s="1">
        <v>8</v>
      </c>
    </row>
    <row r="1163" spans="1:38" x14ac:dyDescent="0.2">
      <c r="A1163" s="2" t="str">
        <f>HYPERLINK("https://www.compass.com/listing/558-west-150th-street-unit-402-manhattan-ny-10031/238220996702760321/","558 W 150th St, Unit 402")</f>
        <v>558 W 150th St, Unit 402</v>
      </c>
      <c r="B1163" s="2" t="str">
        <f t="shared" si="161"/>
        <v>558 W 150th St</v>
      </c>
      <c r="C1163" s="1" t="s">
        <v>82</v>
      </c>
      <c r="D1163" s="1" t="s">
        <v>41</v>
      </c>
      <c r="E1163" s="3">
        <v>780000</v>
      </c>
      <c r="F1163" s="1">
        <v>997.44245524296605</v>
      </c>
      <c r="G1163" s="1">
        <v>3</v>
      </c>
      <c r="H1163" s="1">
        <v>1</v>
      </c>
      <c r="I1163" s="1">
        <v>1</v>
      </c>
      <c r="J1163" s="1">
        <v>1</v>
      </c>
      <c r="K1163" s="1">
        <v>1</v>
      </c>
      <c r="M1163" s="1">
        <v>782</v>
      </c>
      <c r="N1163" s="1">
        <v>372</v>
      </c>
      <c r="O1163" s="1">
        <v>634</v>
      </c>
      <c r="P1163" s="1">
        <v>262</v>
      </c>
      <c r="Q1163" s="1" t="s">
        <v>42</v>
      </c>
      <c r="S1163" s="1" t="s">
        <v>42</v>
      </c>
      <c r="T1163" s="1" t="s">
        <v>153</v>
      </c>
      <c r="U1163" s="1">
        <v>74</v>
      </c>
      <c r="V1163" s="5">
        <v>43753</v>
      </c>
      <c r="W1163" s="5">
        <v>43580</v>
      </c>
      <c r="X1163" s="1">
        <v>780000</v>
      </c>
      <c r="Y1163" s="1">
        <v>780000</v>
      </c>
      <c r="Z1163" s="5">
        <v>43654</v>
      </c>
      <c r="AA1163" s="1">
        <v>765000</v>
      </c>
      <c r="AB1163" s="1" t="s">
        <v>986</v>
      </c>
      <c r="AC1163" s="5">
        <v>43742</v>
      </c>
      <c r="AF1163" s="1">
        <v>10031</v>
      </c>
      <c r="AI1163" s="1" t="s">
        <v>107</v>
      </c>
      <c r="AJ1163" s="1">
        <v>1910</v>
      </c>
      <c r="AL1163" s="1">
        <v>8</v>
      </c>
    </row>
    <row r="1164" spans="1:38" x14ac:dyDescent="0.2">
      <c r="A1164" s="2" t="str">
        <f>HYPERLINK("https://www.compass.com/listing/558-west-150th-street-unit-ph401-manhattan-ny-10031/272185863528567265/","558 W 150th St, Unit PH401")</f>
        <v>558 W 150th St, Unit PH401</v>
      </c>
      <c r="B1164" s="2" t="str">
        <f t="shared" si="161"/>
        <v>558 W 150th St</v>
      </c>
      <c r="C1164" s="1" t="s">
        <v>82</v>
      </c>
      <c r="D1164" s="1" t="s">
        <v>41</v>
      </c>
      <c r="E1164" s="3">
        <v>1150000</v>
      </c>
      <c r="F1164" s="1">
        <v>965.57514693534802</v>
      </c>
      <c r="G1164" s="1">
        <v>4</v>
      </c>
      <c r="H1164" s="1">
        <v>2</v>
      </c>
      <c r="I1164" s="1">
        <v>2</v>
      </c>
      <c r="J1164" s="1">
        <v>2</v>
      </c>
      <c r="K1164" s="1">
        <v>2</v>
      </c>
      <c r="M1164" s="4">
        <v>1191</v>
      </c>
      <c r="N1164" s="1">
        <v>609</v>
      </c>
      <c r="O1164" s="1">
        <v>1038</v>
      </c>
      <c r="P1164" s="1">
        <v>429</v>
      </c>
      <c r="Q1164" s="1" t="s">
        <v>42</v>
      </c>
      <c r="S1164" s="1" t="s">
        <v>42</v>
      </c>
      <c r="T1164" s="1" t="s">
        <v>153</v>
      </c>
      <c r="U1164" s="1">
        <v>12</v>
      </c>
      <c r="V1164" s="5">
        <v>43753</v>
      </c>
      <c r="W1164" s="5">
        <v>43536</v>
      </c>
      <c r="X1164" s="1">
        <v>1150000</v>
      </c>
      <c r="Y1164" s="1">
        <v>1150000</v>
      </c>
      <c r="Z1164" s="5">
        <v>43549</v>
      </c>
      <c r="AA1164" s="1">
        <v>1150000</v>
      </c>
      <c r="AB1164" s="1" t="s">
        <v>987</v>
      </c>
      <c r="AC1164" s="5">
        <v>43739</v>
      </c>
      <c r="AF1164" s="1">
        <v>10031</v>
      </c>
      <c r="AI1164" s="1" t="s">
        <v>225</v>
      </c>
      <c r="AJ1164" s="1">
        <v>1910</v>
      </c>
      <c r="AL1164" s="1">
        <v>8</v>
      </c>
    </row>
    <row r="1165" spans="1:38" x14ac:dyDescent="0.2">
      <c r="A1165" s="2" t="str">
        <f>HYPERLINK("https://www.compass.com/listing/441-convent-avenue-unit-4o-manhattan-ny-10031/28046359890324753/","441 Convent Ave, Unit 4O")</f>
        <v>441 Convent Ave, Unit 4O</v>
      </c>
      <c r="B1165" s="2" t="str">
        <f t="shared" ref="B1165:B1167" si="162">HYPERLINK("https://www.compass.com/building/441-convent-ave-manhattan-ny-10031/281997455145425477/","441 Convent Ave")</f>
        <v>441 Convent Ave</v>
      </c>
      <c r="C1165" s="1" t="s">
        <v>82</v>
      </c>
      <c r="D1165" s="1" t="s">
        <v>41</v>
      </c>
      <c r="E1165" s="3">
        <v>685196</v>
      </c>
      <c r="F1165" s="1">
        <v>837.647921760391</v>
      </c>
      <c r="G1165" s="1">
        <v>4</v>
      </c>
      <c r="H1165" s="1">
        <v>2</v>
      </c>
      <c r="I1165" s="1">
        <v>1</v>
      </c>
      <c r="J1165" s="1">
        <v>1</v>
      </c>
      <c r="M1165" s="1">
        <v>818</v>
      </c>
      <c r="N1165" s="1">
        <v>528</v>
      </c>
      <c r="O1165" s="1">
        <v>802</v>
      </c>
      <c r="P1165" s="1">
        <v>274</v>
      </c>
      <c r="Q1165" s="1" t="s">
        <v>42</v>
      </c>
      <c r="S1165" s="1" t="s">
        <v>42</v>
      </c>
      <c r="T1165" s="1" t="s">
        <v>153</v>
      </c>
      <c r="U1165" s="1">
        <v>32</v>
      </c>
      <c r="V1165" s="5">
        <v>43643</v>
      </c>
      <c r="W1165" s="5">
        <v>42986</v>
      </c>
      <c r="X1165" s="1">
        <v>679000</v>
      </c>
      <c r="Y1165" s="1">
        <v>679000</v>
      </c>
      <c r="Z1165" s="5">
        <v>43018</v>
      </c>
      <c r="AA1165" s="1">
        <v>685196</v>
      </c>
      <c r="AB1165" s="1" t="s">
        <v>988</v>
      </c>
      <c r="AC1165" s="5">
        <v>43281</v>
      </c>
      <c r="AF1165" s="1">
        <v>10031</v>
      </c>
      <c r="AJ1165" s="1">
        <v>1951</v>
      </c>
      <c r="AL1165" s="1">
        <v>90</v>
      </c>
    </row>
    <row r="1166" spans="1:38" x14ac:dyDescent="0.2">
      <c r="A1166" s="2" t="str">
        <f>HYPERLINK("https://www.compass.com/listing/441-convent-avenue-unit-5h-manhattan-ny-10031/4794431201240694609/","441 Convent Ave, Unit 5H")</f>
        <v>441 Convent Ave, Unit 5H</v>
      </c>
      <c r="B1166" s="2" t="str">
        <f t="shared" si="162"/>
        <v>441 Convent Ave</v>
      </c>
      <c r="C1166" s="1" t="s">
        <v>82</v>
      </c>
      <c r="D1166" s="1" t="s">
        <v>41</v>
      </c>
      <c r="E1166" s="3">
        <v>760000</v>
      </c>
      <c r="F1166" s="1">
        <v>850.11185682326595</v>
      </c>
      <c r="G1166" s="1">
        <v>4</v>
      </c>
      <c r="H1166" s="1">
        <v>2</v>
      </c>
      <c r="I1166" s="1">
        <v>1</v>
      </c>
      <c r="J1166" s="1">
        <v>1</v>
      </c>
      <c r="M1166" s="1">
        <v>894</v>
      </c>
      <c r="N1166" s="1">
        <v>582</v>
      </c>
      <c r="O1166" s="1">
        <v>884</v>
      </c>
      <c r="P1166" s="1">
        <v>302</v>
      </c>
      <c r="Q1166" s="1" t="s">
        <v>42</v>
      </c>
      <c r="S1166" s="1" t="s">
        <v>42</v>
      </c>
      <c r="T1166" s="1" t="s">
        <v>153</v>
      </c>
      <c r="V1166" s="5">
        <v>43657</v>
      </c>
      <c r="W1166" s="5">
        <v>43141</v>
      </c>
      <c r="X1166" s="1">
        <v>760000</v>
      </c>
      <c r="Y1166" s="1">
        <v>760000</v>
      </c>
      <c r="Z1166" s="5">
        <v>43141</v>
      </c>
      <c r="AA1166" s="1">
        <v>760000</v>
      </c>
      <c r="AB1166" s="1" t="s">
        <v>989</v>
      </c>
      <c r="AC1166" s="5">
        <v>43305</v>
      </c>
      <c r="AF1166" s="1">
        <v>10031</v>
      </c>
      <c r="AJ1166" s="1">
        <v>1951</v>
      </c>
      <c r="AL1166" s="1">
        <v>90</v>
      </c>
    </row>
    <row r="1167" spans="1:38" x14ac:dyDescent="0.2">
      <c r="A1167" s="2" t="str">
        <f>HYPERLINK("https://www.compass.com/listing/441-convent-avenue-unit-3i-manhattan-ny-10031/349903671455400369/","441 Convent Ave, Unit 3I")</f>
        <v>441 Convent Ave, Unit 3I</v>
      </c>
      <c r="B1167" s="2" t="str">
        <f t="shared" si="162"/>
        <v>441 Convent Ave</v>
      </c>
      <c r="C1167" s="1" t="s">
        <v>82</v>
      </c>
      <c r="D1167" s="1" t="s">
        <v>41</v>
      </c>
      <c r="E1167" s="3">
        <v>597000</v>
      </c>
      <c r="F1167" s="1">
        <v>784.49408672798904</v>
      </c>
      <c r="G1167" s="1">
        <v>4</v>
      </c>
      <c r="H1167" s="1">
        <v>2</v>
      </c>
      <c r="I1167" s="1">
        <v>1</v>
      </c>
      <c r="J1167" s="1">
        <v>1</v>
      </c>
      <c r="K1167" s="1">
        <v>1</v>
      </c>
      <c r="M1167" s="1">
        <v>761</v>
      </c>
      <c r="N1167" s="1">
        <v>488</v>
      </c>
      <c r="O1167" s="1">
        <v>792</v>
      </c>
      <c r="P1167" s="1">
        <v>304</v>
      </c>
      <c r="Q1167" s="1" t="s">
        <v>114</v>
      </c>
      <c r="S1167" s="1" t="s">
        <v>42</v>
      </c>
      <c r="T1167" s="1" t="s">
        <v>153</v>
      </c>
      <c r="U1167" s="1">
        <v>55</v>
      </c>
      <c r="V1167" s="5">
        <v>43950</v>
      </c>
      <c r="W1167" s="5">
        <v>43735</v>
      </c>
      <c r="X1167" s="1">
        <v>617000</v>
      </c>
      <c r="Y1167" s="1">
        <v>617000</v>
      </c>
      <c r="Z1167" s="5">
        <v>43790</v>
      </c>
      <c r="AA1167" s="1">
        <v>597000</v>
      </c>
      <c r="AB1167" s="1" t="s">
        <v>990</v>
      </c>
      <c r="AC1167" s="5">
        <v>43945</v>
      </c>
      <c r="AF1167" s="1">
        <v>10031</v>
      </c>
      <c r="AJ1167" s="1">
        <v>1951</v>
      </c>
      <c r="AL1167" s="1">
        <v>90</v>
      </c>
    </row>
    <row r="1168" spans="1:38" x14ac:dyDescent="0.2">
      <c r="A1168" s="2" t="str">
        <f>HYPERLINK("https://www.compass.com/listing/558-west-150th-street-unit-101-manhattan-ny-10031/167904814267740113/","558 W 150th St, Unit 101")</f>
        <v>558 W 150th St, Unit 101</v>
      </c>
      <c r="B1168" s="2" t="str">
        <f>HYPERLINK("https://www.compass.com/building/558-w-150th-st-manhattan-ny-10031/282001449523736021/","558 W 150th St")</f>
        <v>558 W 150th St</v>
      </c>
      <c r="C1168" s="1" t="s">
        <v>82</v>
      </c>
      <c r="D1168" s="1" t="s">
        <v>41</v>
      </c>
      <c r="E1168" s="3">
        <v>1228264</v>
      </c>
      <c r="F1168" s="1">
        <v>757.25281134401905</v>
      </c>
      <c r="G1168" s="1">
        <v>5</v>
      </c>
      <c r="H1168" s="1">
        <v>1</v>
      </c>
      <c r="I1168" s="1">
        <v>2</v>
      </c>
      <c r="J1168" s="1">
        <v>2</v>
      </c>
      <c r="K1168" s="1">
        <v>2</v>
      </c>
      <c r="M1168" s="4">
        <v>1622</v>
      </c>
      <c r="N1168" s="1">
        <v>418</v>
      </c>
      <c r="O1168" s="1">
        <v>712</v>
      </c>
      <c r="P1168" s="1">
        <v>294</v>
      </c>
      <c r="Q1168" s="1" t="s">
        <v>42</v>
      </c>
      <c r="S1168" s="1" t="s">
        <v>42</v>
      </c>
      <c r="T1168" s="1" t="s">
        <v>153</v>
      </c>
      <c r="U1168" s="1">
        <v>66</v>
      </c>
      <c r="V1168" s="5">
        <v>43719</v>
      </c>
      <c r="W1168" s="5">
        <v>43483</v>
      </c>
      <c r="X1168" s="1">
        <v>1250000</v>
      </c>
      <c r="Y1168" s="1">
        <v>1250000</v>
      </c>
      <c r="Z1168" s="5">
        <v>43550</v>
      </c>
      <c r="AA1168" s="1">
        <v>1228264.06</v>
      </c>
      <c r="AB1168" s="1" t="s">
        <v>991</v>
      </c>
      <c r="AC1168" s="5">
        <v>43746</v>
      </c>
      <c r="AF1168" s="1">
        <v>10031</v>
      </c>
      <c r="AI1168" s="1" t="s">
        <v>105</v>
      </c>
      <c r="AJ1168" s="1">
        <v>1910</v>
      </c>
      <c r="AL1168" s="1">
        <v>8</v>
      </c>
    </row>
    <row r="1169" spans="1:38" x14ac:dyDescent="0.2">
      <c r="A1169" s="2" t="str">
        <f>HYPERLINK("https://www.compass.com/listing/441-convent-avenue-unit-2m-manhattan-ny-10031/26935630344773265/","441 Convent Ave, Unit 2M")</f>
        <v>441 Convent Ave, Unit 2M</v>
      </c>
      <c r="B1169" s="2" t="str">
        <f t="shared" ref="B1169:B1178" si="163">HYPERLINK("https://www.compass.com/building/441-convent-ave-manhattan-ny-10031/281997455145425477/","441 Convent Ave")</f>
        <v>441 Convent Ave</v>
      </c>
      <c r="C1169" s="1" t="s">
        <v>82</v>
      </c>
      <c r="D1169" s="1" t="s">
        <v>41</v>
      </c>
      <c r="E1169" s="3">
        <v>519699</v>
      </c>
      <c r="F1169" s="1">
        <v>787.422727272727</v>
      </c>
      <c r="G1169" s="1">
        <v>3</v>
      </c>
      <c r="H1169" s="1">
        <v>1</v>
      </c>
      <c r="I1169" s="1">
        <v>1</v>
      </c>
      <c r="J1169" s="1">
        <v>1</v>
      </c>
      <c r="M1169" s="1">
        <v>660</v>
      </c>
      <c r="N1169" s="1">
        <v>419</v>
      </c>
      <c r="O1169" s="1">
        <v>636</v>
      </c>
      <c r="P1169" s="1">
        <v>217</v>
      </c>
      <c r="Q1169" s="1" t="s">
        <v>42</v>
      </c>
      <c r="S1169" s="1" t="s">
        <v>42</v>
      </c>
      <c r="T1169" s="1" t="s">
        <v>153</v>
      </c>
      <c r="U1169" s="1">
        <v>112</v>
      </c>
      <c r="V1169" s="5">
        <v>43648</v>
      </c>
      <c r="W1169" s="5">
        <v>42994</v>
      </c>
      <c r="X1169" s="1">
        <v>522000</v>
      </c>
      <c r="Y1169" s="1">
        <v>522000</v>
      </c>
      <c r="Z1169" s="5">
        <v>43118</v>
      </c>
      <c r="AA1169" s="1">
        <v>519699</v>
      </c>
      <c r="AB1169" s="1" t="s">
        <v>992</v>
      </c>
      <c r="AC1169" s="5">
        <v>43293</v>
      </c>
      <c r="AF1169" s="1">
        <v>10031</v>
      </c>
      <c r="AJ1169" s="1">
        <v>1951</v>
      </c>
      <c r="AL1169" s="1">
        <v>90</v>
      </c>
    </row>
    <row r="1170" spans="1:38" x14ac:dyDescent="0.2">
      <c r="A1170" s="2" t="str">
        <f>HYPERLINK("https://www.compass.com/listing/441-convent-avenue-unit-5m-manhattan-ny-10031/4792259133694828113/","441 Convent Ave, Unit 5M")</f>
        <v>441 Convent Ave, Unit 5M</v>
      </c>
      <c r="B1170" s="2" t="str">
        <f t="shared" si="163"/>
        <v>441 Convent Ave</v>
      </c>
      <c r="C1170" s="1" t="s">
        <v>82</v>
      </c>
      <c r="D1170" s="1" t="s">
        <v>41</v>
      </c>
      <c r="E1170" s="3">
        <v>571238</v>
      </c>
      <c r="F1170" s="1">
        <v>865.51212121212097</v>
      </c>
      <c r="G1170" s="1">
        <v>3</v>
      </c>
      <c r="H1170" s="1">
        <v>1</v>
      </c>
      <c r="I1170" s="1">
        <v>1</v>
      </c>
      <c r="J1170" s="1">
        <v>1</v>
      </c>
      <c r="K1170" s="1">
        <v>1</v>
      </c>
      <c r="M1170" s="1">
        <v>660</v>
      </c>
      <c r="N1170" s="1">
        <v>430</v>
      </c>
      <c r="O1170" s="1">
        <v>653</v>
      </c>
      <c r="P1170" s="1">
        <v>223</v>
      </c>
      <c r="Q1170" s="1" t="s">
        <v>42</v>
      </c>
      <c r="S1170" s="1" t="s">
        <v>42</v>
      </c>
      <c r="T1170" s="1" t="s">
        <v>153</v>
      </c>
      <c r="V1170" s="5">
        <v>43643</v>
      </c>
      <c r="W1170" s="5">
        <v>43137</v>
      </c>
      <c r="X1170" s="1">
        <v>561000</v>
      </c>
      <c r="Y1170" s="1">
        <v>561000</v>
      </c>
      <c r="Z1170" s="5">
        <v>43137</v>
      </c>
      <c r="AA1170" s="1">
        <v>571238</v>
      </c>
      <c r="AB1170" s="1" t="s">
        <v>993</v>
      </c>
      <c r="AC1170" s="5">
        <v>43329</v>
      </c>
      <c r="AF1170" s="1">
        <v>10031</v>
      </c>
      <c r="AJ1170" s="1">
        <v>1951</v>
      </c>
      <c r="AL1170" s="1">
        <v>90</v>
      </c>
    </row>
    <row r="1171" spans="1:38" x14ac:dyDescent="0.2">
      <c r="A1171" s="2" t="str">
        <f>HYPERLINK("https://www.compass.com/listing/441-convent-avenue-unit-2o-manhattan-ny-10031/27574673403340417/","441 Convent Ave, Unit 2O")</f>
        <v>441 Convent Ave, Unit 2O</v>
      </c>
      <c r="B1171" s="2" t="str">
        <f t="shared" si="163"/>
        <v>441 Convent Ave</v>
      </c>
      <c r="C1171" s="1" t="s">
        <v>82</v>
      </c>
      <c r="D1171" s="1" t="s">
        <v>41</v>
      </c>
      <c r="E1171" s="3">
        <v>600000</v>
      </c>
      <c r="F1171" s="1">
        <v>733.496332518337</v>
      </c>
      <c r="G1171" s="1">
        <v>4</v>
      </c>
      <c r="H1171" s="1">
        <v>2</v>
      </c>
      <c r="I1171" s="1">
        <v>1</v>
      </c>
      <c r="J1171" s="1">
        <v>1</v>
      </c>
      <c r="K1171" s="1">
        <v>1</v>
      </c>
      <c r="M1171" s="1">
        <v>818</v>
      </c>
      <c r="N1171" s="1">
        <v>520</v>
      </c>
      <c r="O1171" s="1">
        <v>790</v>
      </c>
      <c r="P1171" s="1">
        <v>270</v>
      </c>
      <c r="Q1171" s="1" t="s">
        <v>42</v>
      </c>
      <c r="S1171" s="1" t="s">
        <v>42</v>
      </c>
      <c r="T1171" s="1" t="s">
        <v>153</v>
      </c>
      <c r="U1171" s="1">
        <v>99</v>
      </c>
      <c r="V1171" s="5">
        <v>43638</v>
      </c>
      <c r="W1171" s="5">
        <v>43019</v>
      </c>
      <c r="X1171" s="1">
        <v>646000</v>
      </c>
      <c r="Y1171" s="1">
        <v>646000</v>
      </c>
      <c r="Z1171" s="5">
        <v>43118</v>
      </c>
      <c r="AA1171" s="1">
        <v>600000</v>
      </c>
      <c r="AB1171" s="1" t="s">
        <v>994</v>
      </c>
      <c r="AC1171" s="5">
        <v>43391</v>
      </c>
      <c r="AF1171" s="1">
        <v>10031</v>
      </c>
      <c r="AJ1171" s="1">
        <v>1951</v>
      </c>
      <c r="AL1171" s="1">
        <v>90</v>
      </c>
    </row>
    <row r="1172" spans="1:38" x14ac:dyDescent="0.2">
      <c r="A1172" s="2" t="str">
        <f>HYPERLINK("https://www.compass.com/listing/441-convent-avenue-unit-2i-manhattan-ny-10031/40247294360134513/","441 Convent Ave, Unit 2I")</f>
        <v>441 Convent Ave, Unit 2I</v>
      </c>
      <c r="B1172" s="2" t="str">
        <f t="shared" si="163"/>
        <v>441 Convent Ave</v>
      </c>
      <c r="C1172" s="1" t="s">
        <v>82</v>
      </c>
      <c r="D1172" s="1" t="s">
        <v>41</v>
      </c>
      <c r="E1172" s="3">
        <v>606484</v>
      </c>
      <c r="F1172" s="1">
        <v>796.95663600525597</v>
      </c>
      <c r="G1172" s="1">
        <v>4</v>
      </c>
      <c r="H1172" s="1">
        <v>2</v>
      </c>
      <c r="I1172" s="1">
        <v>1</v>
      </c>
      <c r="J1172" s="1">
        <v>1</v>
      </c>
      <c r="K1172" s="1">
        <v>1</v>
      </c>
      <c r="M1172" s="1">
        <v>761</v>
      </c>
      <c r="N1172" s="1">
        <v>484</v>
      </c>
      <c r="O1172" s="1">
        <v>735</v>
      </c>
      <c r="P1172" s="1">
        <v>251</v>
      </c>
      <c r="Q1172" s="1" t="s">
        <v>42</v>
      </c>
      <c r="S1172" s="1" t="s">
        <v>42</v>
      </c>
      <c r="T1172" s="1" t="s">
        <v>153</v>
      </c>
      <c r="U1172" s="1">
        <v>27</v>
      </c>
      <c r="V1172" s="5">
        <v>43689</v>
      </c>
      <c r="W1172" s="5">
        <v>43307</v>
      </c>
      <c r="X1172" s="1">
        <v>601000</v>
      </c>
      <c r="Y1172" s="1">
        <v>601000</v>
      </c>
      <c r="Z1172" s="5">
        <v>43334</v>
      </c>
      <c r="AA1172" s="1">
        <v>606484</v>
      </c>
      <c r="AB1172" s="1" t="s">
        <v>995</v>
      </c>
      <c r="AC1172" s="5">
        <v>43378</v>
      </c>
      <c r="AF1172" s="1">
        <v>10031</v>
      </c>
      <c r="AJ1172" s="1">
        <v>1951</v>
      </c>
      <c r="AL1172" s="1">
        <v>90</v>
      </c>
    </row>
    <row r="1173" spans="1:38" x14ac:dyDescent="0.2">
      <c r="A1173" s="2" t="str">
        <f>HYPERLINK("https://www.compass.com/listing/441-convent-avenue-unit-5n-manhattan-ny-10031/302869969817659777/","441 Convent Ave, Unit 5N")</f>
        <v>441 Convent Ave, Unit 5N</v>
      </c>
      <c r="B1173" s="2" t="str">
        <f t="shared" si="163"/>
        <v>441 Convent Ave</v>
      </c>
      <c r="C1173" s="1" t="s">
        <v>82</v>
      </c>
      <c r="D1173" s="1" t="s">
        <v>41</v>
      </c>
      <c r="E1173" s="3">
        <v>490000</v>
      </c>
      <c r="F1173" s="1">
        <v>900.73529411764696</v>
      </c>
      <c r="G1173" s="1">
        <v>3</v>
      </c>
      <c r="H1173" s="1">
        <v>1</v>
      </c>
      <c r="I1173" s="1">
        <v>1</v>
      </c>
      <c r="J1173" s="1">
        <v>1</v>
      </c>
      <c r="K1173" s="1">
        <v>1</v>
      </c>
      <c r="M1173" s="1">
        <v>544</v>
      </c>
      <c r="N1173" s="1">
        <v>354</v>
      </c>
      <c r="O1173" s="1">
        <v>575</v>
      </c>
      <c r="P1173" s="1">
        <v>221</v>
      </c>
      <c r="Q1173" s="1" t="s">
        <v>114</v>
      </c>
      <c r="S1173" s="1" t="s">
        <v>42</v>
      </c>
      <c r="T1173" s="1" t="s">
        <v>153</v>
      </c>
      <c r="U1173" s="1">
        <v>187</v>
      </c>
      <c r="V1173" s="5">
        <v>43928</v>
      </c>
      <c r="W1173" s="5">
        <v>43670</v>
      </c>
      <c r="X1173" s="1">
        <v>495000</v>
      </c>
      <c r="Y1173" s="1">
        <v>495000</v>
      </c>
      <c r="Z1173" s="5">
        <v>43858</v>
      </c>
      <c r="AA1173" s="1">
        <v>490000</v>
      </c>
      <c r="AB1173" s="1" t="s">
        <v>996</v>
      </c>
      <c r="AC1173" s="5">
        <v>43914</v>
      </c>
      <c r="AF1173" s="1">
        <v>10031</v>
      </c>
      <c r="AJ1173" s="1">
        <v>1951</v>
      </c>
      <c r="AL1173" s="1">
        <v>90</v>
      </c>
    </row>
    <row r="1174" spans="1:38" x14ac:dyDescent="0.2">
      <c r="A1174" s="2" t="str">
        <f>HYPERLINK("https://www.compass.com/listing/441-convent-avenue-unit-5f-manhattan-ny-10031/390535586099618977/","441 Convent Ave, Unit 5F")</f>
        <v>441 Convent Ave, Unit 5F</v>
      </c>
      <c r="B1174" s="2" t="str">
        <f t="shared" si="163"/>
        <v>441 Convent Ave</v>
      </c>
      <c r="C1174" s="1" t="s">
        <v>82</v>
      </c>
      <c r="D1174" s="1" t="s">
        <v>41</v>
      </c>
      <c r="E1174" s="3">
        <v>565000</v>
      </c>
      <c r="F1174" s="1">
        <v>775.03429355281196</v>
      </c>
      <c r="G1174" s="1">
        <v>3</v>
      </c>
      <c r="H1174" s="1">
        <v>1</v>
      </c>
      <c r="I1174" s="1">
        <v>1</v>
      </c>
      <c r="J1174" s="1">
        <v>1</v>
      </c>
      <c r="K1174" s="1">
        <v>1</v>
      </c>
      <c r="M1174" s="1">
        <v>729</v>
      </c>
      <c r="N1174" s="1">
        <v>475</v>
      </c>
      <c r="O1174" s="1">
        <v>765</v>
      </c>
      <c r="P1174" s="1">
        <v>290</v>
      </c>
      <c r="Q1174" s="1" t="s">
        <v>114</v>
      </c>
      <c r="S1174" s="1" t="s">
        <v>42</v>
      </c>
      <c r="T1174" s="1" t="s">
        <v>153</v>
      </c>
      <c r="U1174" s="1">
        <v>38</v>
      </c>
      <c r="V1174" s="5">
        <v>43846</v>
      </c>
      <c r="W1174" s="5">
        <v>43791</v>
      </c>
      <c r="X1174" s="1">
        <v>580000</v>
      </c>
      <c r="Y1174" s="1">
        <v>580000</v>
      </c>
      <c r="Z1174" s="5">
        <v>43830</v>
      </c>
      <c r="AA1174" s="1">
        <v>565000</v>
      </c>
      <c r="AB1174" s="1" t="s">
        <v>997</v>
      </c>
      <c r="AC1174" s="5">
        <v>43830</v>
      </c>
      <c r="AF1174" s="1">
        <v>10031</v>
      </c>
      <c r="AJ1174" s="1">
        <v>1951</v>
      </c>
      <c r="AL1174" s="1">
        <v>90</v>
      </c>
    </row>
    <row r="1175" spans="1:38" x14ac:dyDescent="0.2">
      <c r="A1175" s="2" t="str">
        <f>HYPERLINK("https://www.compass.com/listing/441-convent-avenue-unit-5a-manhattan-ny-10031/21054441541085473/","441 Convent Ave, Unit 5A")</f>
        <v>441 Convent Ave, Unit 5A</v>
      </c>
      <c r="B1175" s="2" t="str">
        <f t="shared" si="163"/>
        <v>441 Convent Ave</v>
      </c>
      <c r="C1175" s="1" t="s">
        <v>82</v>
      </c>
      <c r="D1175" s="1" t="s">
        <v>41</v>
      </c>
      <c r="E1175" s="3">
        <v>593000</v>
      </c>
      <c r="F1175" s="1">
        <v>850.789096126255</v>
      </c>
      <c r="G1175" s="1">
        <v>3</v>
      </c>
      <c r="H1175" s="1">
        <v>1</v>
      </c>
      <c r="I1175" s="1">
        <v>1</v>
      </c>
      <c r="J1175" s="1">
        <v>1</v>
      </c>
      <c r="M1175" s="1">
        <v>697</v>
      </c>
      <c r="N1175" s="1">
        <v>453</v>
      </c>
      <c r="O1175" s="1">
        <v>688</v>
      </c>
      <c r="P1175" s="1">
        <v>235</v>
      </c>
      <c r="Q1175" s="1" t="s">
        <v>42</v>
      </c>
      <c r="S1175" s="1" t="s">
        <v>42</v>
      </c>
      <c r="T1175" s="1" t="s">
        <v>153</v>
      </c>
      <c r="U1175" s="1">
        <v>32</v>
      </c>
      <c r="V1175" s="5">
        <v>43638</v>
      </c>
      <c r="W1175" s="5">
        <v>42986</v>
      </c>
      <c r="X1175" s="1">
        <v>593000</v>
      </c>
      <c r="Y1175" s="1">
        <v>593000</v>
      </c>
      <c r="Z1175" s="5">
        <v>43281</v>
      </c>
      <c r="AA1175" s="1">
        <v>593000</v>
      </c>
      <c r="AB1175" s="1" t="s">
        <v>998</v>
      </c>
      <c r="AC1175" s="5">
        <v>43298</v>
      </c>
      <c r="AF1175" s="1">
        <v>10031</v>
      </c>
      <c r="AJ1175" s="1">
        <v>1951</v>
      </c>
      <c r="AL1175" s="1">
        <v>90</v>
      </c>
    </row>
    <row r="1176" spans="1:38" x14ac:dyDescent="0.2">
      <c r="A1176" s="2" t="str">
        <f>HYPERLINK("https://www.compass.com/listing/441-convent-avenue-unit-3a-manhattan-ny-10031/23954498099690353/","441 Convent Ave, Unit 3A")</f>
        <v>441 Convent Ave, Unit 3A</v>
      </c>
      <c r="B1176" s="2" t="str">
        <f t="shared" si="163"/>
        <v>441 Convent Ave</v>
      </c>
      <c r="C1176" s="1" t="s">
        <v>82</v>
      </c>
      <c r="D1176" s="1" t="s">
        <v>41</v>
      </c>
      <c r="E1176" s="3">
        <v>565000</v>
      </c>
      <c r="F1176" s="1">
        <v>810.61692969870796</v>
      </c>
      <c r="G1176" s="1">
        <v>3</v>
      </c>
      <c r="H1176" s="1">
        <v>1</v>
      </c>
      <c r="I1176" s="1">
        <v>1</v>
      </c>
      <c r="J1176" s="1">
        <v>1</v>
      </c>
      <c r="M1176" s="1">
        <v>697</v>
      </c>
      <c r="N1176" s="1">
        <v>447</v>
      </c>
      <c r="O1176" s="1">
        <v>679</v>
      </c>
      <c r="P1176" s="1">
        <v>232</v>
      </c>
      <c r="Q1176" s="1" t="s">
        <v>42</v>
      </c>
      <c r="S1176" s="1" t="s">
        <v>42</v>
      </c>
      <c r="T1176" s="1" t="s">
        <v>153</v>
      </c>
      <c r="U1176" s="1">
        <v>21</v>
      </c>
      <c r="V1176" s="5">
        <v>43659</v>
      </c>
      <c r="W1176" s="5">
        <v>43019</v>
      </c>
      <c r="X1176" s="1">
        <v>565000</v>
      </c>
      <c r="Y1176" s="1">
        <v>565000</v>
      </c>
      <c r="Z1176" s="5">
        <v>43040</v>
      </c>
      <c r="AA1176" s="1">
        <v>565000</v>
      </c>
      <c r="AB1176" s="1" t="s">
        <v>999</v>
      </c>
      <c r="AC1176" s="5">
        <v>43283</v>
      </c>
      <c r="AF1176" s="1">
        <v>10031</v>
      </c>
      <c r="AJ1176" s="1">
        <v>1951</v>
      </c>
      <c r="AL1176" s="1">
        <v>90</v>
      </c>
    </row>
    <row r="1177" spans="1:38" x14ac:dyDescent="0.2">
      <c r="A1177" s="2" t="str">
        <f>HYPERLINK("https://www.compass.com/listing/441-convent-avenue-unit-2a-manhattan-ny-10031/28301701509372993/","441 Convent Ave, Unit 2A")</f>
        <v>441 Convent Ave, Unit 2A</v>
      </c>
      <c r="B1177" s="2" t="str">
        <f t="shared" si="163"/>
        <v>441 Convent Ave</v>
      </c>
      <c r="C1177" s="1" t="s">
        <v>82</v>
      </c>
      <c r="D1177" s="1" t="s">
        <v>41</v>
      </c>
      <c r="E1177" s="3">
        <v>561056</v>
      </c>
      <c r="F1177" s="1">
        <v>804.95839311334203</v>
      </c>
      <c r="G1177" s="1">
        <v>3</v>
      </c>
      <c r="H1177" s="1">
        <v>1</v>
      </c>
      <c r="I1177" s="1">
        <v>1</v>
      </c>
      <c r="J1177" s="1">
        <v>1</v>
      </c>
      <c r="M1177" s="1">
        <v>697</v>
      </c>
      <c r="N1177" s="1">
        <v>444</v>
      </c>
      <c r="O1177" s="1">
        <v>674</v>
      </c>
      <c r="P1177" s="1">
        <v>230</v>
      </c>
      <c r="Q1177" s="1" t="s">
        <v>42</v>
      </c>
      <c r="S1177" s="1" t="s">
        <v>42</v>
      </c>
      <c r="T1177" s="1" t="s">
        <v>153</v>
      </c>
      <c r="V1177" s="5">
        <v>43641</v>
      </c>
      <c r="W1177" s="5">
        <v>43137</v>
      </c>
      <c r="X1177" s="1">
        <v>551000</v>
      </c>
      <c r="Y1177" s="1">
        <v>551000</v>
      </c>
      <c r="Z1177" s="5">
        <v>43137</v>
      </c>
      <c r="AA1177" s="1">
        <v>561056</v>
      </c>
      <c r="AB1177" s="1" t="s">
        <v>1000</v>
      </c>
      <c r="AC1177" s="5">
        <v>43281</v>
      </c>
      <c r="AF1177" s="1">
        <v>10031</v>
      </c>
      <c r="AJ1177" s="1">
        <v>1951</v>
      </c>
      <c r="AL1177" s="1">
        <v>90</v>
      </c>
    </row>
    <row r="1178" spans="1:38" x14ac:dyDescent="0.2">
      <c r="A1178" s="2" t="str">
        <f>HYPERLINK("https://www.compass.com/listing/441-convent-avenue-unit-6a-manhattan-ny-10031/302869970178157585/","441 Convent Ave, Unit 6A")</f>
        <v>441 Convent Ave, Unit 6A</v>
      </c>
      <c r="B1178" s="2" t="str">
        <f t="shared" si="163"/>
        <v>441 Convent Ave</v>
      </c>
      <c r="C1178" s="1" t="s">
        <v>82</v>
      </c>
      <c r="D1178" s="1" t="s">
        <v>41</v>
      </c>
      <c r="E1178" s="3">
        <v>565000</v>
      </c>
      <c r="F1178" s="1">
        <v>810.61692969870796</v>
      </c>
      <c r="G1178" s="1">
        <v>3</v>
      </c>
      <c r="H1178" s="1">
        <v>1</v>
      </c>
      <c r="I1178" s="1">
        <v>1</v>
      </c>
      <c r="J1178" s="1">
        <v>1</v>
      </c>
      <c r="K1178" s="1">
        <v>1</v>
      </c>
      <c r="M1178" s="1">
        <v>697</v>
      </c>
      <c r="N1178" s="1">
        <v>457</v>
      </c>
      <c r="O1178" s="1">
        <v>743</v>
      </c>
      <c r="P1178" s="1">
        <v>286</v>
      </c>
      <c r="Q1178" s="1" t="s">
        <v>114</v>
      </c>
      <c r="S1178" s="1" t="s">
        <v>42</v>
      </c>
      <c r="T1178" s="1" t="s">
        <v>153</v>
      </c>
      <c r="U1178" s="1">
        <v>126</v>
      </c>
      <c r="V1178" s="5">
        <v>43839</v>
      </c>
      <c r="W1178" s="5">
        <v>43670</v>
      </c>
      <c r="X1178" s="1">
        <v>607000</v>
      </c>
      <c r="Y1178" s="1">
        <v>575000</v>
      </c>
      <c r="Z1178" s="5">
        <v>43797</v>
      </c>
      <c r="AA1178" s="1">
        <v>565000</v>
      </c>
      <c r="AB1178" s="1" t="s">
        <v>1001</v>
      </c>
      <c r="AC1178" s="5">
        <v>43826</v>
      </c>
      <c r="AF1178" s="1">
        <v>10031</v>
      </c>
      <c r="AJ1178" s="1">
        <v>1951</v>
      </c>
      <c r="AL1178" s="1">
        <v>90</v>
      </c>
    </row>
    <row r="1179" spans="1:38" x14ac:dyDescent="0.2">
      <c r="A1179" s="2" t="str">
        <f>HYPERLINK("https://www.compass.com/listing/540-west-149th-street-unit-1-manhattan-ny-10031/29434706550380001/","540 W 149th St, Unit 1")</f>
        <v>540 W 149th St, Unit 1</v>
      </c>
      <c r="B1179" s="2" t="str">
        <f t="shared" ref="B1179:B1182" si="164">HYPERLINK("https://www.compass.com/building/greyston-house-manhattan-ny/282000825973335477/","Greyston House")</f>
        <v>Greyston House</v>
      </c>
      <c r="C1179" s="1" t="s">
        <v>82</v>
      </c>
      <c r="D1179" s="1" t="s">
        <v>41</v>
      </c>
      <c r="E1179" s="3">
        <v>885878</v>
      </c>
      <c r="F1179" s="1">
        <v>712.12017684887405</v>
      </c>
      <c r="G1179" s="1">
        <v>5</v>
      </c>
      <c r="H1179" s="1">
        <v>2</v>
      </c>
      <c r="I1179" s="1">
        <v>2</v>
      </c>
      <c r="J1179" s="1">
        <v>2</v>
      </c>
      <c r="M1179" s="4">
        <v>1244</v>
      </c>
      <c r="N1179" s="1">
        <v>654.87</v>
      </c>
      <c r="O1179" s="1">
        <v>1235.5999999999999</v>
      </c>
      <c r="P1179" s="1">
        <v>580.75</v>
      </c>
      <c r="Q1179" s="1" t="s">
        <v>42</v>
      </c>
      <c r="S1179" s="1" t="s">
        <v>42</v>
      </c>
      <c r="T1179" s="1" t="s">
        <v>153</v>
      </c>
      <c r="V1179" s="5">
        <v>41640</v>
      </c>
      <c r="Y1179" s="1">
        <v>870000</v>
      </c>
      <c r="Z1179" s="5">
        <v>41491</v>
      </c>
      <c r="AA1179" s="1">
        <v>885877.5</v>
      </c>
      <c r="AB1179" s="1" t="s">
        <v>1002</v>
      </c>
      <c r="AC1179" s="5">
        <v>41852</v>
      </c>
      <c r="AF1179" s="1">
        <v>10031</v>
      </c>
      <c r="AI1179" s="1" t="s">
        <v>1003</v>
      </c>
      <c r="AJ1179" s="1">
        <v>1899</v>
      </c>
      <c r="AK1179" s="1" t="s">
        <v>76</v>
      </c>
      <c r="AL1179" s="1">
        <v>4</v>
      </c>
    </row>
    <row r="1180" spans="1:38" x14ac:dyDescent="0.2">
      <c r="A1180" s="2" t="str">
        <f>HYPERLINK("https://www.compass.com/listing/540-west-149th-street-unit-4-manhattan-ny-10031/29434707724785137/","540 W 149th St, Unit 4")</f>
        <v>540 W 149th St, Unit 4</v>
      </c>
      <c r="B1180" s="2" t="str">
        <f t="shared" si="164"/>
        <v>Greyston House</v>
      </c>
      <c r="C1180" s="1" t="s">
        <v>82</v>
      </c>
      <c r="D1180" s="1" t="s">
        <v>41</v>
      </c>
      <c r="E1180" s="3">
        <v>768779</v>
      </c>
      <c r="F1180" s="1">
        <v>761.16707920791998</v>
      </c>
      <c r="G1180" s="1">
        <v>5</v>
      </c>
      <c r="H1180" s="1">
        <v>2</v>
      </c>
      <c r="I1180" s="1">
        <v>2</v>
      </c>
      <c r="J1180" s="1">
        <v>2</v>
      </c>
      <c r="M1180" s="4">
        <v>1010</v>
      </c>
      <c r="N1180" s="1">
        <v>627.48</v>
      </c>
      <c r="O1180" s="1">
        <v>1181.6300000000001</v>
      </c>
      <c r="P1180" s="1">
        <v>554.16666666666595</v>
      </c>
      <c r="Q1180" s="1" t="s">
        <v>42</v>
      </c>
      <c r="S1180" s="1" t="s">
        <v>42</v>
      </c>
      <c r="T1180" s="1" t="s">
        <v>153</v>
      </c>
      <c r="V1180" s="5">
        <v>41640</v>
      </c>
      <c r="Y1180" s="1">
        <v>755000</v>
      </c>
      <c r="Z1180" s="5">
        <v>41491</v>
      </c>
      <c r="AA1180" s="1">
        <v>768778.75</v>
      </c>
      <c r="AB1180" s="1" t="s">
        <v>1004</v>
      </c>
      <c r="AC1180" s="5">
        <v>41858</v>
      </c>
      <c r="AF1180" s="1">
        <v>10031</v>
      </c>
      <c r="AI1180" s="1" t="s">
        <v>1005</v>
      </c>
      <c r="AJ1180" s="1">
        <v>1899</v>
      </c>
      <c r="AK1180" s="1" t="s">
        <v>76</v>
      </c>
      <c r="AL1180" s="1">
        <v>4</v>
      </c>
    </row>
    <row r="1181" spans="1:38" x14ac:dyDescent="0.2">
      <c r="A1181" s="2" t="str">
        <f>HYPERLINK("https://www.compass.com/listing/540-west-149th-street-unit-garden-manhattan-ny-10031/4852305728980911905/","540 W 149th St, Unit GARDEN")</f>
        <v>540 W 149th St, Unit GARDEN</v>
      </c>
      <c r="B1181" s="2" t="str">
        <f t="shared" si="164"/>
        <v>Greyston House</v>
      </c>
      <c r="C1181" s="1" t="s">
        <v>82</v>
      </c>
      <c r="D1181" s="1" t="s">
        <v>41</v>
      </c>
      <c r="E1181" s="3">
        <v>870000</v>
      </c>
      <c r="F1181" s="1">
        <v>699.35691318327895</v>
      </c>
      <c r="G1181" s="1">
        <v>5</v>
      </c>
      <c r="H1181" s="1">
        <v>2</v>
      </c>
      <c r="I1181" s="1">
        <v>2</v>
      </c>
      <c r="J1181" s="1">
        <v>2</v>
      </c>
      <c r="M1181" s="4">
        <v>1244</v>
      </c>
      <c r="N1181" s="1">
        <v>655</v>
      </c>
      <c r="O1181" s="1">
        <v>1236</v>
      </c>
      <c r="P1181" s="1">
        <v>581</v>
      </c>
      <c r="Q1181" s="1" t="s">
        <v>42</v>
      </c>
      <c r="S1181" s="1" t="s">
        <v>42</v>
      </c>
      <c r="T1181" s="1" t="s">
        <v>153</v>
      </c>
      <c r="U1181" s="1">
        <v>23</v>
      </c>
      <c r="V1181" s="5">
        <v>43686</v>
      </c>
      <c r="W1181" s="5">
        <v>41492</v>
      </c>
      <c r="X1181" s="1">
        <v>870000</v>
      </c>
      <c r="Y1181" s="1">
        <v>870000</v>
      </c>
      <c r="Z1181" s="5">
        <v>41515</v>
      </c>
      <c r="AA1181" s="1">
        <v>870000</v>
      </c>
      <c r="AB1181" s="1" t="s">
        <v>177</v>
      </c>
      <c r="AC1181" s="5">
        <v>41866</v>
      </c>
      <c r="AF1181" s="1">
        <v>10031</v>
      </c>
      <c r="AI1181" s="1" t="s">
        <v>1003</v>
      </c>
      <c r="AJ1181" s="1">
        <v>1899</v>
      </c>
      <c r="AK1181" s="1" t="s">
        <v>76</v>
      </c>
      <c r="AL1181" s="1">
        <v>4</v>
      </c>
    </row>
    <row r="1182" spans="1:38" x14ac:dyDescent="0.2">
      <c r="A1182" s="2" t="str">
        <f>HYPERLINK("https://www.compass.com/listing/540-west-149th-street-unit-ph-manhattan-ny-10031/4852305807867386849/","540 W 149th St, Unit PH")</f>
        <v>540 W 149th St, Unit PH</v>
      </c>
      <c r="B1182" s="2" t="str">
        <f t="shared" si="164"/>
        <v>Greyston House</v>
      </c>
      <c r="C1182" s="1" t="s">
        <v>82</v>
      </c>
      <c r="D1182" s="1" t="s">
        <v>41</v>
      </c>
      <c r="E1182" s="3">
        <v>755000</v>
      </c>
      <c r="F1182" s="1">
        <v>747.52475247524706</v>
      </c>
      <c r="G1182" s="1">
        <v>5</v>
      </c>
      <c r="H1182" s="1">
        <v>2</v>
      </c>
      <c r="I1182" s="1">
        <v>2</v>
      </c>
      <c r="J1182" s="1">
        <v>2</v>
      </c>
      <c r="M1182" s="4">
        <v>1010</v>
      </c>
      <c r="N1182" s="1">
        <v>627</v>
      </c>
      <c r="O1182" s="1">
        <v>1181</v>
      </c>
      <c r="P1182" s="1">
        <v>554</v>
      </c>
      <c r="Q1182" s="1" t="s">
        <v>42</v>
      </c>
      <c r="S1182" s="1" t="s">
        <v>42</v>
      </c>
      <c r="T1182" s="1" t="s">
        <v>153</v>
      </c>
      <c r="U1182" s="1">
        <v>29</v>
      </c>
      <c r="V1182" s="5">
        <v>43686</v>
      </c>
      <c r="W1182" s="5">
        <v>41492</v>
      </c>
      <c r="X1182" s="1">
        <v>710000</v>
      </c>
      <c r="Y1182" s="1">
        <v>755000</v>
      </c>
      <c r="Z1182" s="5">
        <v>41521</v>
      </c>
      <c r="AA1182" s="1">
        <v>755000</v>
      </c>
      <c r="AB1182" s="1" t="s">
        <v>177</v>
      </c>
      <c r="AC1182" s="5">
        <v>41866</v>
      </c>
      <c r="AF1182" s="1">
        <v>10031</v>
      </c>
      <c r="AI1182" s="1" t="s">
        <v>1005</v>
      </c>
      <c r="AJ1182" s="1">
        <v>1899</v>
      </c>
      <c r="AK1182" s="1" t="s">
        <v>76</v>
      </c>
      <c r="AL1182" s="1">
        <v>4</v>
      </c>
    </row>
    <row r="1183" spans="1:38" x14ac:dyDescent="0.2">
      <c r="A1183" s="2" t="str">
        <f>HYPERLINK("https://www.compass.com/listing/558-west-150th-street-unit-201-manhattan-ny-10031/213574518445222785/","558 W 150th St, Unit 201")</f>
        <v>558 W 150th St, Unit 201</v>
      </c>
      <c r="B1183" s="2" t="str">
        <f>HYPERLINK("https://www.compass.com/building/558-w-150th-st-manhattan-ny-10031/282001449523736021/","558 W 150th St")</f>
        <v>558 W 150th St</v>
      </c>
      <c r="C1183" s="1" t="s">
        <v>82</v>
      </c>
      <c r="D1183" s="1" t="s">
        <v>41</v>
      </c>
      <c r="E1183" s="3">
        <v>795000</v>
      </c>
      <c r="F1183" s="1">
        <v>1025.8064516129</v>
      </c>
      <c r="G1183" s="1">
        <v>3</v>
      </c>
      <c r="H1183" s="1">
        <v>1</v>
      </c>
      <c r="I1183" s="1">
        <v>1</v>
      </c>
      <c r="J1183" s="1">
        <v>1</v>
      </c>
      <c r="K1183" s="1">
        <v>1</v>
      </c>
      <c r="M1183" s="1">
        <v>775</v>
      </c>
      <c r="N1183" s="1">
        <v>369</v>
      </c>
      <c r="O1183" s="1">
        <v>629</v>
      </c>
      <c r="P1183" s="1">
        <v>260</v>
      </c>
      <c r="Q1183" s="1" t="s">
        <v>42</v>
      </c>
      <c r="S1183" s="1" t="s">
        <v>42</v>
      </c>
      <c r="T1183" s="1" t="s">
        <v>153</v>
      </c>
      <c r="U1183" s="1">
        <v>165</v>
      </c>
      <c r="V1183" s="5">
        <v>43745</v>
      </c>
      <c r="W1183" s="5">
        <v>43547</v>
      </c>
      <c r="X1183" s="1">
        <v>810000</v>
      </c>
      <c r="Y1183" s="1">
        <v>810000</v>
      </c>
      <c r="Z1183" s="5">
        <v>43712</v>
      </c>
      <c r="AA1183" s="1">
        <v>795000</v>
      </c>
      <c r="AB1183" s="1" t="s">
        <v>1006</v>
      </c>
      <c r="AC1183" s="5">
        <v>43733</v>
      </c>
      <c r="AF1183" s="1">
        <v>10031</v>
      </c>
      <c r="AI1183" s="1" t="s">
        <v>107</v>
      </c>
      <c r="AJ1183" s="1">
        <v>1910</v>
      </c>
      <c r="AL1183" s="1">
        <v>8</v>
      </c>
    </row>
    <row r="1184" spans="1:38" x14ac:dyDescent="0.2">
      <c r="A1184" s="2" t="str">
        <f>HYPERLINK("https://www.compass.com/listing/441-convent-avenue-unit-4c-manhattan-ny-10031/4794431201416855393/","441 Convent Ave, Unit 4C")</f>
        <v>441 Convent Ave, Unit 4C</v>
      </c>
      <c r="B1184" s="2" t="str">
        <f t="shared" ref="B1184:B1191" si="165">HYPERLINK("https://www.compass.com/building/441-convent-ave-manhattan-ny-10031/281997455145425477/","441 Convent Ave")</f>
        <v>441 Convent Ave</v>
      </c>
      <c r="C1184" s="1" t="s">
        <v>82</v>
      </c>
      <c r="D1184" s="1" t="s">
        <v>41</v>
      </c>
      <c r="E1184" s="3">
        <v>499000</v>
      </c>
      <c r="F1184" s="1">
        <v>830.28286189683797</v>
      </c>
      <c r="G1184" s="1">
        <v>3</v>
      </c>
      <c r="H1184" s="1">
        <v>1</v>
      </c>
      <c r="I1184" s="1">
        <v>1</v>
      </c>
      <c r="J1184" s="1">
        <v>1</v>
      </c>
      <c r="M1184" s="1">
        <v>601</v>
      </c>
      <c r="N1184" s="1">
        <v>388</v>
      </c>
      <c r="O1184" s="1">
        <v>590</v>
      </c>
      <c r="P1184" s="1">
        <v>202</v>
      </c>
      <c r="Q1184" s="1" t="s">
        <v>42</v>
      </c>
      <c r="S1184" s="1" t="s">
        <v>42</v>
      </c>
      <c r="T1184" s="1" t="s">
        <v>153</v>
      </c>
      <c r="V1184" s="5">
        <v>43650</v>
      </c>
      <c r="W1184" s="5">
        <v>43141</v>
      </c>
      <c r="X1184" s="1">
        <v>499000</v>
      </c>
      <c r="Y1184" s="1">
        <v>499000</v>
      </c>
      <c r="Z1184" s="5">
        <v>43141</v>
      </c>
      <c r="AA1184" s="1">
        <v>499000</v>
      </c>
      <c r="AB1184" s="1" t="s">
        <v>1007</v>
      </c>
      <c r="AC1184" s="5">
        <v>43294</v>
      </c>
      <c r="AF1184" s="1">
        <v>10031</v>
      </c>
      <c r="AJ1184" s="1">
        <v>1951</v>
      </c>
      <c r="AL1184" s="1">
        <v>90</v>
      </c>
    </row>
    <row r="1185" spans="1:38" x14ac:dyDescent="0.2">
      <c r="A1185" s="2" t="str">
        <f>HYPERLINK("https://www.compass.com/listing/441-convent-avenue-unit-3l-manhattan-ny-10031/28023371002361937/","441 Convent Ave, Unit 3L")</f>
        <v>441 Convent Ave, Unit 3L</v>
      </c>
      <c r="B1185" s="2" t="str">
        <f t="shared" si="165"/>
        <v>441 Convent Ave</v>
      </c>
      <c r="C1185" s="1" t="s">
        <v>82</v>
      </c>
      <c r="D1185" s="1" t="s">
        <v>41</v>
      </c>
      <c r="E1185" s="3">
        <v>383292</v>
      </c>
      <c r="F1185" s="1">
        <v>820.75374732334001</v>
      </c>
      <c r="G1185" s="1">
        <v>2</v>
      </c>
      <c r="H1185" s="1" t="s">
        <v>94</v>
      </c>
      <c r="I1185" s="1">
        <v>1</v>
      </c>
      <c r="J1185" s="1">
        <v>1</v>
      </c>
      <c r="M1185" s="1">
        <v>467</v>
      </c>
      <c r="N1185" s="1">
        <v>299</v>
      </c>
      <c r="O1185" s="1">
        <v>454</v>
      </c>
      <c r="P1185" s="1">
        <v>155</v>
      </c>
      <c r="Q1185" s="1" t="s">
        <v>42</v>
      </c>
      <c r="S1185" s="1" t="s">
        <v>42</v>
      </c>
      <c r="T1185" s="1" t="s">
        <v>153</v>
      </c>
      <c r="U1185" s="1">
        <v>32</v>
      </c>
      <c r="V1185" s="5">
        <v>43641</v>
      </c>
      <c r="W1185" s="5">
        <v>42986</v>
      </c>
      <c r="X1185" s="1">
        <v>378000</v>
      </c>
      <c r="Y1185" s="1">
        <v>378000</v>
      </c>
      <c r="Z1185" s="5">
        <v>43018</v>
      </c>
      <c r="AA1185" s="1">
        <v>383292</v>
      </c>
      <c r="AB1185" s="1" t="s">
        <v>1008</v>
      </c>
      <c r="AC1185" s="5">
        <v>43286</v>
      </c>
      <c r="AF1185" s="1">
        <v>10031</v>
      </c>
      <c r="AJ1185" s="1">
        <v>1951</v>
      </c>
      <c r="AL1185" s="1">
        <v>90</v>
      </c>
    </row>
    <row r="1186" spans="1:38" x14ac:dyDescent="0.2">
      <c r="A1186" s="2" t="str">
        <f>HYPERLINK("https://www.compass.com/listing/441-convent-avenue-unit-2b-manhattan-ny-10031/39793245743533233/","441 Convent Ave, Unit 2B")</f>
        <v>441 Convent Ave, Unit 2B</v>
      </c>
      <c r="B1186" s="2" t="str">
        <f t="shared" si="165"/>
        <v>441 Convent Ave</v>
      </c>
      <c r="C1186" s="1" t="s">
        <v>82</v>
      </c>
      <c r="D1186" s="1" t="s">
        <v>41</v>
      </c>
      <c r="E1186" s="3">
        <v>462500</v>
      </c>
      <c r="F1186" s="1">
        <v>681.14874815905705</v>
      </c>
      <c r="G1186" s="1">
        <v>4</v>
      </c>
      <c r="H1186" s="1">
        <v>1</v>
      </c>
      <c r="I1186" s="1">
        <v>1</v>
      </c>
      <c r="J1186" s="1">
        <v>1</v>
      </c>
      <c r="K1186" s="1">
        <v>1</v>
      </c>
      <c r="M1186" s="1">
        <v>679</v>
      </c>
      <c r="N1186" s="1">
        <v>432</v>
      </c>
      <c r="O1186" s="1">
        <v>650</v>
      </c>
      <c r="P1186" s="1">
        <v>218</v>
      </c>
      <c r="Q1186" s="1" t="s">
        <v>114</v>
      </c>
      <c r="S1186" s="1" t="s">
        <v>42</v>
      </c>
      <c r="T1186" s="1" t="s">
        <v>153</v>
      </c>
      <c r="U1186" s="1">
        <v>361</v>
      </c>
      <c r="V1186" s="5">
        <v>43701</v>
      </c>
      <c r="W1186" s="5">
        <v>43307</v>
      </c>
      <c r="X1186" s="1">
        <v>577000</v>
      </c>
      <c r="Y1186" s="1">
        <v>499000</v>
      </c>
      <c r="AA1186" s="1">
        <v>462500</v>
      </c>
      <c r="AB1186" s="1" t="s">
        <v>1009</v>
      </c>
      <c r="AC1186" s="5">
        <v>43748</v>
      </c>
      <c r="AF1186" s="1">
        <v>10031</v>
      </c>
      <c r="AJ1186" s="1">
        <v>1951</v>
      </c>
      <c r="AL1186" s="1">
        <v>90</v>
      </c>
    </row>
    <row r="1187" spans="1:38" x14ac:dyDescent="0.2">
      <c r="A1187" s="2" t="str">
        <f>HYPERLINK("https://www.compass.com/listing/441-convent-avenue-unit-6l-manhattan-ny-10031/28301689471717873/","441 Convent Ave, Unit 6L")</f>
        <v>441 Convent Ave, Unit 6L</v>
      </c>
      <c r="B1187" s="2" t="str">
        <f t="shared" si="165"/>
        <v>441 Convent Ave</v>
      </c>
      <c r="C1187" s="1" t="s">
        <v>82</v>
      </c>
      <c r="D1187" s="1" t="s">
        <v>41</v>
      </c>
      <c r="E1187" s="3">
        <v>406000</v>
      </c>
      <c r="F1187" s="1">
        <v>869.37901498929295</v>
      </c>
      <c r="G1187" s="1">
        <v>2</v>
      </c>
      <c r="H1187" s="1" t="s">
        <v>94</v>
      </c>
      <c r="I1187" s="1">
        <v>1</v>
      </c>
      <c r="J1187" s="1">
        <v>1</v>
      </c>
      <c r="M1187" s="1">
        <v>467</v>
      </c>
      <c r="N1187" s="1">
        <v>306</v>
      </c>
      <c r="O1187" s="1">
        <v>465</v>
      </c>
      <c r="P1187" s="1">
        <v>159</v>
      </c>
      <c r="Q1187" s="1" t="s">
        <v>42</v>
      </c>
      <c r="S1187" s="1" t="s">
        <v>42</v>
      </c>
      <c r="T1187" s="1" t="s">
        <v>153</v>
      </c>
      <c r="V1187" s="5">
        <v>43657</v>
      </c>
      <c r="W1187" s="5">
        <v>43137</v>
      </c>
      <c r="X1187" s="1">
        <v>406000</v>
      </c>
      <c r="Y1187" s="1">
        <v>406000</v>
      </c>
      <c r="Z1187" s="5">
        <v>43137</v>
      </c>
      <c r="AA1187" s="1">
        <v>406000</v>
      </c>
      <c r="AB1187" s="1" t="s">
        <v>1010</v>
      </c>
      <c r="AC1187" s="5">
        <v>43286</v>
      </c>
      <c r="AF1187" s="1">
        <v>10031</v>
      </c>
      <c r="AJ1187" s="1">
        <v>1951</v>
      </c>
      <c r="AL1187" s="1">
        <v>90</v>
      </c>
    </row>
    <row r="1188" spans="1:38" x14ac:dyDescent="0.2">
      <c r="A1188" s="2" t="str">
        <f>HYPERLINK("https://www.compass.com/listing/441-convent-avenue-unit-4l-manhattan-ny-10031/4837192122392126161/","441 Convent Ave, Unit 4L")</f>
        <v>441 Convent Ave, Unit 4L</v>
      </c>
      <c r="B1188" s="2" t="str">
        <f t="shared" si="165"/>
        <v>441 Convent Ave</v>
      </c>
      <c r="C1188" s="1" t="s">
        <v>82</v>
      </c>
      <c r="D1188" s="1" t="s">
        <v>41</v>
      </c>
      <c r="E1188" s="3">
        <v>390716</v>
      </c>
      <c r="F1188" s="1">
        <v>836.65096359742995</v>
      </c>
      <c r="G1188" s="1">
        <v>2</v>
      </c>
      <c r="H1188" s="1" t="s">
        <v>94</v>
      </c>
      <c r="I1188" s="1">
        <v>1</v>
      </c>
      <c r="J1188" s="1">
        <v>1</v>
      </c>
      <c r="M1188" s="1">
        <v>467</v>
      </c>
      <c r="N1188" s="1">
        <v>302</v>
      </c>
      <c r="O1188" s="1">
        <v>459</v>
      </c>
      <c r="P1188" s="1">
        <v>157</v>
      </c>
      <c r="Q1188" s="1" t="s">
        <v>42</v>
      </c>
      <c r="S1188" s="1" t="s">
        <v>42</v>
      </c>
      <c r="T1188" s="1" t="s">
        <v>153</v>
      </c>
      <c r="U1188" s="1">
        <v>9</v>
      </c>
      <c r="V1188" s="5">
        <v>43638</v>
      </c>
      <c r="W1188" s="5">
        <v>43019</v>
      </c>
      <c r="X1188" s="1">
        <v>388000</v>
      </c>
      <c r="Y1188" s="1">
        <v>388000</v>
      </c>
      <c r="Z1188" s="5">
        <v>43028</v>
      </c>
      <c r="AA1188" s="1">
        <v>390716</v>
      </c>
      <c r="AB1188" s="1" t="s">
        <v>1011</v>
      </c>
      <c r="AC1188" s="5">
        <v>43306</v>
      </c>
      <c r="AF1188" s="1">
        <v>10031</v>
      </c>
      <c r="AJ1188" s="1">
        <v>1951</v>
      </c>
      <c r="AL1188" s="1">
        <v>90</v>
      </c>
    </row>
    <row r="1189" spans="1:38" x14ac:dyDescent="0.2">
      <c r="A1189" s="2" t="str">
        <f>HYPERLINK("https://www.compass.com/listing/441-convent-avenue-unit-3c-manhattan-ny-10031/365876786270643873/","441 Convent Ave, Unit 3C")</f>
        <v>441 Convent Ave, Unit 3C</v>
      </c>
      <c r="B1189" s="2" t="str">
        <f t="shared" si="165"/>
        <v>441 Convent Ave</v>
      </c>
      <c r="C1189" s="1" t="s">
        <v>82</v>
      </c>
      <c r="D1189" s="1" t="s">
        <v>41</v>
      </c>
      <c r="E1189" s="3">
        <v>477500</v>
      </c>
      <c r="F1189" s="1">
        <v>794.50915141430903</v>
      </c>
      <c r="G1189" s="1">
        <v>3</v>
      </c>
      <c r="H1189" s="1">
        <v>1</v>
      </c>
      <c r="I1189" s="1">
        <v>1</v>
      </c>
      <c r="J1189" s="1">
        <v>1</v>
      </c>
      <c r="K1189" s="1">
        <v>1</v>
      </c>
      <c r="M1189" s="1">
        <v>601</v>
      </c>
      <c r="N1189" s="1">
        <v>385</v>
      </c>
      <c r="O1189" s="1">
        <v>625</v>
      </c>
      <c r="P1189" s="1">
        <v>240</v>
      </c>
      <c r="Q1189" s="1" t="s">
        <v>114</v>
      </c>
      <c r="S1189" s="1" t="s">
        <v>42</v>
      </c>
      <c r="T1189" s="1" t="s">
        <v>153</v>
      </c>
      <c r="U1189" s="1">
        <v>67</v>
      </c>
      <c r="V1189" s="5">
        <v>43893</v>
      </c>
      <c r="W1189" s="5">
        <v>43757</v>
      </c>
      <c r="X1189" s="1">
        <v>487000</v>
      </c>
      <c r="Y1189" s="1">
        <v>487000</v>
      </c>
      <c r="Z1189" s="5">
        <v>43865</v>
      </c>
      <c r="AA1189" s="1">
        <v>477500</v>
      </c>
      <c r="AB1189" s="1" t="s">
        <v>1012</v>
      </c>
      <c r="AC1189" s="5">
        <v>43880</v>
      </c>
      <c r="AF1189" s="1">
        <v>10031</v>
      </c>
      <c r="AJ1189" s="1">
        <v>1951</v>
      </c>
      <c r="AL1189" s="1">
        <v>90</v>
      </c>
    </row>
    <row r="1190" spans="1:38" x14ac:dyDescent="0.2">
      <c r="A1190" s="2" t="str">
        <f>HYPERLINK("https://www.compass.com/listing/441-convent-avenue-unit-3n-manhattan-ny-10031/4792259134743404305/","441 Convent Ave, Unit 3N")</f>
        <v>441 Convent Ave, Unit 3N</v>
      </c>
      <c r="B1190" s="2" t="str">
        <f t="shared" si="165"/>
        <v>441 Convent Ave</v>
      </c>
      <c r="C1190" s="1" t="s">
        <v>82</v>
      </c>
      <c r="D1190" s="1" t="s">
        <v>41</v>
      </c>
      <c r="E1190" s="3">
        <v>444087</v>
      </c>
      <c r="F1190" s="1">
        <v>816.33639705882297</v>
      </c>
      <c r="G1190" s="1">
        <v>3</v>
      </c>
      <c r="H1190" s="1">
        <v>1</v>
      </c>
      <c r="I1190" s="1">
        <v>1</v>
      </c>
      <c r="J1190" s="1">
        <v>1</v>
      </c>
      <c r="K1190" s="1">
        <v>1</v>
      </c>
      <c r="M1190" s="1">
        <v>544</v>
      </c>
      <c r="N1190" s="1">
        <v>349</v>
      </c>
      <c r="O1190" s="1">
        <v>530</v>
      </c>
      <c r="P1190" s="1">
        <v>181</v>
      </c>
      <c r="Q1190" s="1" t="s">
        <v>42</v>
      </c>
      <c r="S1190" s="1" t="s">
        <v>42</v>
      </c>
      <c r="T1190" s="1" t="s">
        <v>153</v>
      </c>
      <c r="V1190" s="5">
        <v>43357</v>
      </c>
      <c r="W1190" s="5">
        <v>43137</v>
      </c>
      <c r="X1190" s="1">
        <v>441000</v>
      </c>
      <c r="Y1190" s="1">
        <v>441000</v>
      </c>
      <c r="Z1190" s="5">
        <v>43137</v>
      </c>
      <c r="AA1190" s="1">
        <v>444087</v>
      </c>
      <c r="AB1190" s="1" t="s">
        <v>1013</v>
      </c>
      <c r="AC1190" s="5">
        <v>43307</v>
      </c>
      <c r="AF1190" s="1">
        <v>10031</v>
      </c>
      <c r="AJ1190" s="1">
        <v>1951</v>
      </c>
      <c r="AL1190" s="1">
        <v>90</v>
      </c>
    </row>
    <row r="1191" spans="1:38" x14ac:dyDescent="0.2">
      <c r="A1191" s="2" t="str">
        <f>HYPERLINK("https://www.compass.com/listing/441-convent-avenue-unit-5k-manhattan-ny-10031/207182637410906865/","441 Convent Ave, Unit 5K")</f>
        <v>441 Convent Ave, Unit 5K</v>
      </c>
      <c r="B1191" s="2" t="str">
        <f t="shared" si="165"/>
        <v>441 Convent Ave</v>
      </c>
      <c r="C1191" s="1" t="s">
        <v>82</v>
      </c>
      <c r="D1191" s="1" t="s">
        <v>41</v>
      </c>
      <c r="E1191" s="3">
        <v>562500</v>
      </c>
      <c r="F1191" s="1">
        <v>705.77164366373904</v>
      </c>
      <c r="G1191" s="1">
        <v>4</v>
      </c>
      <c r="H1191" s="1">
        <v>2</v>
      </c>
      <c r="I1191" s="1">
        <v>1</v>
      </c>
      <c r="J1191" s="1">
        <v>1</v>
      </c>
      <c r="K1191" s="1">
        <v>1</v>
      </c>
      <c r="M1191" s="1">
        <v>797</v>
      </c>
      <c r="N1191" s="1">
        <v>519</v>
      </c>
      <c r="O1191" s="1">
        <v>780</v>
      </c>
      <c r="P1191" s="1">
        <v>261</v>
      </c>
      <c r="Q1191" s="1" t="s">
        <v>114</v>
      </c>
      <c r="S1191" s="1" t="s">
        <v>42</v>
      </c>
      <c r="T1191" s="1" t="s">
        <v>153</v>
      </c>
      <c r="U1191" s="1">
        <v>110</v>
      </c>
      <c r="V1191" s="5">
        <v>43717</v>
      </c>
      <c r="W1191" s="5">
        <v>43537</v>
      </c>
      <c r="X1191" s="1">
        <v>620000</v>
      </c>
      <c r="Y1191" s="1">
        <v>560000</v>
      </c>
      <c r="Z1191" s="5">
        <v>43647</v>
      </c>
      <c r="AA1191" s="1">
        <v>562500</v>
      </c>
      <c r="AB1191" s="1" t="s">
        <v>1014</v>
      </c>
      <c r="AC1191" s="5">
        <v>43706</v>
      </c>
      <c r="AF1191" s="1">
        <v>10031</v>
      </c>
      <c r="AJ1191" s="1">
        <v>1951</v>
      </c>
      <c r="AL1191" s="1">
        <v>90</v>
      </c>
    </row>
    <row r="1192" spans="1:38" x14ac:dyDescent="0.2">
      <c r="A1192" s="2" t="str">
        <f>HYPERLINK("https://www.compass.com/listing/540-west-149th-street-unit-2-manhattan-ny-10031/29434706927870929/","540 W 149th St, Unit 2")</f>
        <v>540 W 149th St, Unit 2</v>
      </c>
      <c r="B1192" s="2" t="str">
        <f t="shared" ref="B1192:B1193" si="166">HYPERLINK("https://www.compass.com/building/greyston-house-manhattan-ny/282000825973335477/","Greyston House")</f>
        <v>Greyston House</v>
      </c>
      <c r="C1192" s="1" t="s">
        <v>82</v>
      </c>
      <c r="D1192" s="1" t="s">
        <v>41</v>
      </c>
      <c r="E1192" s="3">
        <v>539673</v>
      </c>
      <c r="F1192" s="1">
        <v>736.25238744883995</v>
      </c>
      <c r="G1192" s="1">
        <v>3</v>
      </c>
      <c r="H1192" s="1">
        <v>1</v>
      </c>
      <c r="I1192" s="1">
        <v>1</v>
      </c>
      <c r="J1192" s="1">
        <v>1</v>
      </c>
      <c r="M1192" s="1">
        <v>733</v>
      </c>
      <c r="N1192" s="1">
        <v>519</v>
      </c>
      <c r="O1192" s="1">
        <v>922</v>
      </c>
      <c r="P1192" s="1">
        <v>403</v>
      </c>
      <c r="Q1192" s="1" t="s">
        <v>42</v>
      </c>
      <c r="S1192" s="1" t="s">
        <v>42</v>
      </c>
      <c r="T1192" s="1" t="s">
        <v>153</v>
      </c>
      <c r="U1192" s="1">
        <v>29</v>
      </c>
      <c r="V1192" s="5">
        <v>43686</v>
      </c>
      <c r="W1192" s="5">
        <v>41492</v>
      </c>
      <c r="X1192" s="1">
        <v>515000</v>
      </c>
      <c r="Y1192" s="1">
        <v>530000</v>
      </c>
      <c r="Z1192" s="5">
        <v>41521</v>
      </c>
      <c r="AA1192" s="1">
        <v>539673</v>
      </c>
      <c r="AB1192" s="1" t="s">
        <v>1015</v>
      </c>
      <c r="AC1192" s="5">
        <v>41850</v>
      </c>
      <c r="AF1192" s="1">
        <v>10031</v>
      </c>
      <c r="AI1192" s="1" t="s">
        <v>1005</v>
      </c>
      <c r="AJ1192" s="1">
        <v>1899</v>
      </c>
      <c r="AK1192" s="1" t="s">
        <v>76</v>
      </c>
      <c r="AL1192" s="1">
        <v>4</v>
      </c>
    </row>
    <row r="1193" spans="1:38" x14ac:dyDescent="0.2">
      <c r="A1193" s="2" t="str">
        <f>HYPERLINK("https://www.compass.com/listing/540-west-149th-street-unit-3-manhattan-ny-10031/29434707347362481/","540 W 149th St, Unit 3")</f>
        <v>540 W 149th St, Unit 3</v>
      </c>
      <c r="B1193" s="2" t="str">
        <f t="shared" si="166"/>
        <v>Greyston House</v>
      </c>
      <c r="C1193" s="1" t="s">
        <v>82</v>
      </c>
      <c r="D1193" s="1" t="s">
        <v>41</v>
      </c>
      <c r="E1193" s="3">
        <v>539673</v>
      </c>
      <c r="F1193" s="1">
        <v>730.27469553450601</v>
      </c>
      <c r="G1193" s="1">
        <v>3</v>
      </c>
      <c r="H1193" s="1">
        <v>1</v>
      </c>
      <c r="I1193" s="1">
        <v>1</v>
      </c>
      <c r="J1193" s="1">
        <v>1</v>
      </c>
      <c r="M1193" s="1">
        <v>739</v>
      </c>
      <c r="N1193" s="1">
        <v>523</v>
      </c>
      <c r="O1193" s="1">
        <v>929</v>
      </c>
      <c r="P1193" s="1">
        <v>406</v>
      </c>
      <c r="Q1193" s="1" t="s">
        <v>42</v>
      </c>
      <c r="S1193" s="1" t="s">
        <v>42</v>
      </c>
      <c r="T1193" s="1" t="s">
        <v>153</v>
      </c>
      <c r="U1193" s="1">
        <v>29</v>
      </c>
      <c r="V1193" s="5">
        <v>43686</v>
      </c>
      <c r="W1193" s="5">
        <v>41492</v>
      </c>
      <c r="X1193" s="1">
        <v>515000</v>
      </c>
      <c r="Y1193" s="1">
        <v>530000</v>
      </c>
      <c r="Z1193" s="5">
        <v>41521</v>
      </c>
      <c r="AA1193" s="1">
        <v>539673</v>
      </c>
      <c r="AB1193" s="1" t="s">
        <v>1016</v>
      </c>
      <c r="AC1193" s="5">
        <v>41850</v>
      </c>
      <c r="AF1193" s="1">
        <v>10031</v>
      </c>
      <c r="AI1193" s="1" t="s">
        <v>1005</v>
      </c>
      <c r="AJ1193" s="1">
        <v>1899</v>
      </c>
      <c r="AK1193" s="1" t="s">
        <v>76</v>
      </c>
      <c r="AL1193" s="1">
        <v>4</v>
      </c>
    </row>
    <row r="1194" spans="1:38" x14ac:dyDescent="0.2">
      <c r="A1194" s="2" t="str">
        <f>HYPERLINK("https://www.compass.com/listing/558-west-150th-street-unit-202-manhattan-ny-10031/167904814544466625/","558 W 150th St, Unit 202")</f>
        <v>558 W 150th St, Unit 202</v>
      </c>
      <c r="B1194" s="2" t="str">
        <f>HYPERLINK("https://www.compass.com/building/558-w-150th-st-manhattan-ny-10031/282001449523736021/","558 W 150th St")</f>
        <v>558 W 150th St</v>
      </c>
      <c r="C1194" s="1" t="s">
        <v>82</v>
      </c>
      <c r="D1194" s="1" t="s">
        <v>41</v>
      </c>
      <c r="E1194" s="3">
        <v>785000</v>
      </c>
      <c r="F1194" s="1">
        <v>1003.83631713554</v>
      </c>
      <c r="G1194" s="1">
        <v>3</v>
      </c>
      <c r="H1194" s="1">
        <v>1</v>
      </c>
      <c r="I1194" s="1">
        <v>1</v>
      </c>
      <c r="J1194" s="1">
        <v>1</v>
      </c>
      <c r="K1194" s="1">
        <v>1</v>
      </c>
      <c r="M1194" s="1">
        <v>782</v>
      </c>
      <c r="N1194" s="1">
        <v>372</v>
      </c>
      <c r="O1194" s="1">
        <v>634</v>
      </c>
      <c r="P1194" s="1">
        <v>262</v>
      </c>
      <c r="Q1194" s="1" t="s">
        <v>42</v>
      </c>
      <c r="S1194" s="1" t="s">
        <v>42</v>
      </c>
      <c r="T1194" s="1" t="s">
        <v>153</v>
      </c>
      <c r="U1194" s="1">
        <v>192</v>
      </c>
      <c r="V1194" s="5">
        <v>43805</v>
      </c>
      <c r="W1194" s="5">
        <v>43484</v>
      </c>
      <c r="X1194" s="1">
        <v>800000</v>
      </c>
      <c r="Y1194" s="1">
        <v>795000</v>
      </c>
      <c r="Z1194" s="5">
        <v>43676</v>
      </c>
      <c r="AA1194" s="1">
        <v>785000</v>
      </c>
      <c r="AB1194" s="1" t="s">
        <v>1017</v>
      </c>
      <c r="AC1194" s="5">
        <v>43734</v>
      </c>
      <c r="AF1194" s="1">
        <v>10031</v>
      </c>
      <c r="AI1194" s="1" t="s">
        <v>105</v>
      </c>
      <c r="AJ1194" s="1">
        <v>1910</v>
      </c>
      <c r="AL1194" s="1">
        <v>8</v>
      </c>
    </row>
    <row r="1195" spans="1:38" x14ac:dyDescent="0.2">
      <c r="A1195" s="2" t="str">
        <f>HYPERLINK("https://www.compass.com/listing/750-riverside-drive-unit-1e-manhattan-ny-10031/273530865605248785/","750 Riverside Dr, Unit 1E")</f>
        <v>750 Riverside Dr, Unit 1E</v>
      </c>
      <c r="B1195" s="2" t="str">
        <f t="shared" ref="B1195:B1204" si="167">HYPERLINK("https://www.compass.com/building/750-riverside-dr-manhattan-ny-10031/282003523909053237/","750 Riverside Dr")</f>
        <v>750 Riverside Dr</v>
      </c>
      <c r="C1195" s="1" t="s">
        <v>82</v>
      </c>
      <c r="D1195" s="1" t="s">
        <v>41</v>
      </c>
      <c r="E1195" s="3">
        <v>520000</v>
      </c>
      <c r="F1195" s="1">
        <v>693.33333333333303</v>
      </c>
      <c r="G1195" s="1">
        <v>4</v>
      </c>
      <c r="H1195" s="1">
        <v>2</v>
      </c>
      <c r="I1195" s="1">
        <v>1</v>
      </c>
      <c r="J1195" s="1">
        <v>1</v>
      </c>
      <c r="K1195" s="1">
        <v>1</v>
      </c>
      <c r="M1195" s="1">
        <v>750</v>
      </c>
      <c r="N1195" s="1">
        <v>700</v>
      </c>
      <c r="O1195" s="1">
        <v>1032</v>
      </c>
      <c r="P1195" s="1">
        <v>332</v>
      </c>
      <c r="Q1195" s="1" t="s">
        <v>42</v>
      </c>
      <c r="S1195" s="1" t="s">
        <v>42</v>
      </c>
      <c r="T1195" s="1" t="s">
        <v>153</v>
      </c>
      <c r="U1195" s="1">
        <v>177</v>
      </c>
      <c r="V1195" s="5">
        <v>44008</v>
      </c>
      <c r="W1195" s="5">
        <v>43622</v>
      </c>
      <c r="X1195" s="1">
        <v>539000</v>
      </c>
      <c r="Y1195" s="1">
        <v>529000</v>
      </c>
      <c r="Z1195" s="5">
        <v>43800</v>
      </c>
      <c r="AA1195" s="1">
        <v>520000</v>
      </c>
      <c r="AB1195" s="1" t="s">
        <v>1018</v>
      </c>
      <c r="AC1195" s="5">
        <v>43914</v>
      </c>
      <c r="AF1195" s="1">
        <v>10031</v>
      </c>
      <c r="AJ1195" s="1">
        <v>1920</v>
      </c>
      <c r="AL1195" s="1">
        <v>42</v>
      </c>
    </row>
    <row r="1196" spans="1:38" x14ac:dyDescent="0.2">
      <c r="A1196" s="2" t="str">
        <f>HYPERLINK("https://www.compass.com/listing/750-riverside-drive-unit-4b-manhattan-ny-10031/29434971026359633/","750 Riverside Dr, Unit 4B")</f>
        <v>750 Riverside Dr, Unit 4B</v>
      </c>
      <c r="B1196" s="2" t="str">
        <f t="shared" si="167"/>
        <v>750 Riverside Dr</v>
      </c>
      <c r="C1196" s="1" t="s">
        <v>82</v>
      </c>
      <c r="D1196" s="1" t="s">
        <v>41</v>
      </c>
      <c r="E1196" s="3">
        <v>390000</v>
      </c>
      <c r="F1196" s="1">
        <v>766.20825147347705</v>
      </c>
      <c r="G1196" s="1">
        <v>2</v>
      </c>
      <c r="H1196" s="1">
        <v>1</v>
      </c>
      <c r="I1196" s="1">
        <v>1</v>
      </c>
      <c r="J1196" s="1">
        <v>1</v>
      </c>
      <c r="M1196" s="1">
        <v>509</v>
      </c>
      <c r="N1196" s="1">
        <v>552</v>
      </c>
      <c r="O1196" s="1">
        <v>752</v>
      </c>
      <c r="P1196" s="1">
        <v>200</v>
      </c>
      <c r="Q1196" s="1" t="s">
        <v>42</v>
      </c>
      <c r="S1196" s="1" t="s">
        <v>42</v>
      </c>
      <c r="T1196" s="1" t="s">
        <v>153</v>
      </c>
      <c r="U1196" s="1">
        <v>35</v>
      </c>
      <c r="V1196" s="5">
        <v>43666</v>
      </c>
      <c r="W1196" s="5">
        <v>42871</v>
      </c>
      <c r="X1196" s="1">
        <v>400000</v>
      </c>
      <c r="Y1196" s="1">
        <v>400000</v>
      </c>
      <c r="Z1196" s="5">
        <v>42906</v>
      </c>
      <c r="AA1196" s="1">
        <v>390000</v>
      </c>
      <c r="AB1196" s="1" t="s">
        <v>1019</v>
      </c>
      <c r="AC1196" s="5">
        <v>42912</v>
      </c>
      <c r="AF1196" s="1">
        <v>10031</v>
      </c>
      <c r="AJ1196" s="1">
        <v>1920</v>
      </c>
      <c r="AL1196" s="1">
        <v>42</v>
      </c>
    </row>
    <row r="1197" spans="1:38" x14ac:dyDescent="0.2">
      <c r="A1197" s="2" t="str">
        <f>HYPERLINK("https://www.compass.com/listing/750-riverside-drive-unit-3g-manhattan-ny-10031/29434970263059809/","750 Riverside Dr, Unit 3G")</f>
        <v>750 Riverside Dr, Unit 3G</v>
      </c>
      <c r="B1197" s="2" t="str">
        <f t="shared" si="167"/>
        <v>750 Riverside Dr</v>
      </c>
      <c r="C1197" s="1" t="s">
        <v>82</v>
      </c>
      <c r="D1197" s="1" t="s">
        <v>41</v>
      </c>
      <c r="E1197" s="3">
        <v>640000</v>
      </c>
      <c r="F1197" s="1">
        <v>771.08433734939695</v>
      </c>
      <c r="G1197" s="1">
        <v>3</v>
      </c>
      <c r="H1197" s="1">
        <v>2</v>
      </c>
      <c r="I1197" s="1">
        <v>1</v>
      </c>
      <c r="J1197" s="1">
        <v>1</v>
      </c>
      <c r="M1197" s="1">
        <v>830</v>
      </c>
      <c r="N1197" s="1">
        <v>904</v>
      </c>
      <c r="O1197" s="1">
        <v>1141</v>
      </c>
      <c r="P1197" s="1">
        <v>237</v>
      </c>
      <c r="Q1197" s="1" t="s">
        <v>42</v>
      </c>
      <c r="S1197" s="1" t="s">
        <v>42</v>
      </c>
      <c r="T1197" s="1" t="s">
        <v>153</v>
      </c>
      <c r="U1197" s="1">
        <v>76</v>
      </c>
      <c r="V1197" s="5">
        <v>43676</v>
      </c>
      <c r="W1197" s="5">
        <v>42385</v>
      </c>
      <c r="X1197" s="1">
        <v>650000</v>
      </c>
      <c r="Y1197" s="1">
        <v>650000</v>
      </c>
      <c r="Z1197" s="5">
        <v>42461</v>
      </c>
      <c r="AA1197" s="1">
        <v>640000</v>
      </c>
      <c r="AB1197" s="1" t="s">
        <v>1020</v>
      </c>
      <c r="AC1197" s="5">
        <v>42535</v>
      </c>
      <c r="AF1197" s="1">
        <v>10031</v>
      </c>
      <c r="AJ1197" s="1">
        <v>1920</v>
      </c>
      <c r="AL1197" s="1">
        <v>42</v>
      </c>
    </row>
    <row r="1198" spans="1:38" x14ac:dyDescent="0.2">
      <c r="A1198" s="2" t="str">
        <f>HYPERLINK("https://www.compass.com/listing/750-riverside-drive-unit-2d-manhattan-ny-10031/29434968551785185/","750 Riverside Dr, Unit 2D")</f>
        <v>750 Riverside Dr, Unit 2D</v>
      </c>
      <c r="B1198" s="2" t="str">
        <f t="shared" si="167"/>
        <v>750 Riverside Dr</v>
      </c>
      <c r="C1198" s="1" t="s">
        <v>82</v>
      </c>
      <c r="D1198" s="1" t="s">
        <v>41</v>
      </c>
      <c r="E1198" s="3">
        <v>661863</v>
      </c>
      <c r="F1198" s="1">
        <v>656.61011904761904</v>
      </c>
      <c r="G1198" s="1">
        <v>4</v>
      </c>
      <c r="H1198" s="1">
        <v>2</v>
      </c>
      <c r="I1198" s="1">
        <v>1</v>
      </c>
      <c r="J1198" s="1">
        <v>1</v>
      </c>
      <c r="M1198" s="4">
        <v>1008</v>
      </c>
      <c r="N1198" s="1">
        <v>1068</v>
      </c>
      <c r="O1198" s="1">
        <v>1348</v>
      </c>
      <c r="P1198" s="1">
        <v>280</v>
      </c>
      <c r="Q1198" s="1" t="s">
        <v>42</v>
      </c>
      <c r="S1198" s="1" t="s">
        <v>42</v>
      </c>
      <c r="T1198" s="1" t="s">
        <v>153</v>
      </c>
      <c r="U1198" s="1">
        <v>113</v>
      </c>
      <c r="V1198" s="5">
        <v>43682</v>
      </c>
      <c r="W1198" s="5">
        <v>42153</v>
      </c>
      <c r="X1198" s="1">
        <v>708400</v>
      </c>
      <c r="Y1198" s="1">
        <v>708400</v>
      </c>
      <c r="Z1198" s="5">
        <v>42266</v>
      </c>
      <c r="AA1198" s="1">
        <v>661863</v>
      </c>
      <c r="AB1198" s="1" t="s">
        <v>1021</v>
      </c>
      <c r="AC1198" s="5">
        <v>42353</v>
      </c>
      <c r="AF1198" s="1">
        <v>10031</v>
      </c>
      <c r="AJ1198" s="1">
        <v>1920</v>
      </c>
      <c r="AL1198" s="1">
        <v>42</v>
      </c>
    </row>
    <row r="1199" spans="1:38" x14ac:dyDescent="0.2">
      <c r="A1199" s="2" t="str">
        <f>HYPERLINK("https://www.compass.com/listing/750-riverside-drive-unit-4d-manhattan-ny-10031/29434971806565137/","750 Riverside Dr, Unit 4D")</f>
        <v>750 Riverside Dr, Unit 4D</v>
      </c>
      <c r="B1199" s="2" t="str">
        <f t="shared" si="167"/>
        <v>750 Riverside Dr</v>
      </c>
      <c r="C1199" s="1" t="s">
        <v>82</v>
      </c>
      <c r="D1199" s="1" t="s">
        <v>41</v>
      </c>
      <c r="E1199" s="3">
        <v>651680</v>
      </c>
      <c r="F1199" s="1">
        <v>646.50793650793605</v>
      </c>
      <c r="G1199" s="1">
        <v>4</v>
      </c>
      <c r="H1199" s="1">
        <v>2</v>
      </c>
      <c r="I1199" s="1">
        <v>1</v>
      </c>
      <c r="J1199" s="1">
        <v>1</v>
      </c>
      <c r="M1199" s="4">
        <v>1008</v>
      </c>
      <c r="N1199" s="1">
        <v>1079</v>
      </c>
      <c r="O1199" s="1">
        <v>1362</v>
      </c>
      <c r="P1199" s="1">
        <v>283</v>
      </c>
      <c r="Q1199" s="1" t="s">
        <v>42</v>
      </c>
      <c r="S1199" s="1" t="s">
        <v>42</v>
      </c>
      <c r="T1199" s="1" t="s">
        <v>153</v>
      </c>
      <c r="U1199" s="1">
        <v>108</v>
      </c>
      <c r="V1199" s="5">
        <v>43679</v>
      </c>
      <c r="W1199" s="5">
        <v>41927</v>
      </c>
      <c r="X1199" s="1">
        <v>646000</v>
      </c>
      <c r="Y1199" s="1">
        <v>678300</v>
      </c>
      <c r="Z1199" s="5">
        <v>42035</v>
      </c>
      <c r="AA1199" s="1">
        <v>651680</v>
      </c>
      <c r="AB1199" s="1" t="s">
        <v>1022</v>
      </c>
      <c r="AC1199" s="5">
        <v>42389</v>
      </c>
      <c r="AF1199" s="1">
        <v>10031</v>
      </c>
      <c r="AJ1199" s="1">
        <v>1920</v>
      </c>
      <c r="AL1199" s="1">
        <v>42</v>
      </c>
    </row>
    <row r="1200" spans="1:38" x14ac:dyDescent="0.2">
      <c r="A1200" s="2" t="str">
        <f>HYPERLINK("https://www.compass.com/listing/750-riverside-drive-unit-2c-manhattan-ny-10031/29434968199462209/","750 Riverside Dr, Unit 2C")</f>
        <v>750 Riverside Dr, Unit 2C</v>
      </c>
      <c r="B1200" s="2" t="str">
        <f t="shared" si="167"/>
        <v>750 Riverside Dr</v>
      </c>
      <c r="C1200" s="1" t="s">
        <v>82</v>
      </c>
      <c r="D1200" s="1" t="s">
        <v>41</v>
      </c>
      <c r="E1200" s="3">
        <v>480000</v>
      </c>
      <c r="F1200" s="1">
        <v>727.27272727272702</v>
      </c>
      <c r="G1200" s="1">
        <v>3</v>
      </c>
      <c r="H1200" s="1">
        <v>1</v>
      </c>
      <c r="I1200" s="1">
        <v>1</v>
      </c>
      <c r="J1200" s="1">
        <v>1</v>
      </c>
      <c r="M1200" s="1">
        <v>660</v>
      </c>
      <c r="N1200" s="1">
        <v>693</v>
      </c>
      <c r="O1200" s="1">
        <v>943</v>
      </c>
      <c r="P1200" s="1">
        <v>250</v>
      </c>
      <c r="Q1200" s="1" t="s">
        <v>42</v>
      </c>
      <c r="S1200" s="1" t="s">
        <v>42</v>
      </c>
      <c r="T1200" s="1" t="s">
        <v>153</v>
      </c>
      <c r="U1200" s="1">
        <v>35</v>
      </c>
      <c r="V1200" s="5">
        <v>43665</v>
      </c>
      <c r="W1200" s="5">
        <v>42871</v>
      </c>
      <c r="X1200" s="1">
        <v>481793</v>
      </c>
      <c r="Y1200" s="1">
        <v>481793</v>
      </c>
      <c r="Z1200" s="5">
        <v>42906</v>
      </c>
      <c r="AA1200" s="1">
        <v>480000</v>
      </c>
      <c r="AB1200" s="1" t="s">
        <v>1023</v>
      </c>
      <c r="AC1200" s="5">
        <v>42915</v>
      </c>
      <c r="AF1200" s="1">
        <v>10031</v>
      </c>
      <c r="AJ1200" s="1">
        <v>1920</v>
      </c>
      <c r="AL1200" s="1">
        <v>42</v>
      </c>
    </row>
    <row r="1201" spans="1:38" x14ac:dyDescent="0.2">
      <c r="A1201" s="2" t="str">
        <f>HYPERLINK("https://www.compass.com/listing/750-riverside-drive-unit-3c-manhattan-ny-10031/29512818969637057/","750 Riverside Dr, Unit 3C")</f>
        <v>750 Riverside Dr, Unit 3C</v>
      </c>
      <c r="B1201" s="2" t="str">
        <f t="shared" si="167"/>
        <v>750 Riverside Dr</v>
      </c>
      <c r="C1201" s="1" t="s">
        <v>82</v>
      </c>
      <c r="D1201" s="1" t="s">
        <v>41</v>
      </c>
      <c r="E1201" s="3">
        <v>495000</v>
      </c>
      <c r="F1201" s="1">
        <v>750</v>
      </c>
      <c r="G1201" s="1">
        <v>3</v>
      </c>
      <c r="H1201" s="1">
        <v>1</v>
      </c>
      <c r="I1201" s="1">
        <v>1</v>
      </c>
      <c r="J1201" s="1">
        <v>1</v>
      </c>
      <c r="M1201" s="1">
        <v>660</v>
      </c>
      <c r="N1201" s="1">
        <v>627</v>
      </c>
      <c r="O1201" s="1">
        <v>888</v>
      </c>
      <c r="P1201" s="1">
        <v>261</v>
      </c>
      <c r="Q1201" s="1" t="s">
        <v>42</v>
      </c>
      <c r="S1201" s="1" t="s">
        <v>42</v>
      </c>
      <c r="T1201" s="1" t="s">
        <v>153</v>
      </c>
      <c r="U1201" s="1">
        <v>83</v>
      </c>
      <c r="V1201" s="5">
        <v>43638</v>
      </c>
      <c r="W1201" s="5">
        <v>43174</v>
      </c>
      <c r="X1201" s="1">
        <v>500000</v>
      </c>
      <c r="Y1201" s="1">
        <v>500000</v>
      </c>
      <c r="Z1201" s="5">
        <v>43257</v>
      </c>
      <c r="AA1201" s="1">
        <v>495000</v>
      </c>
      <c r="AB1201" s="1" t="s">
        <v>1024</v>
      </c>
      <c r="AC1201" s="5">
        <v>43315</v>
      </c>
      <c r="AF1201" s="1">
        <v>10031</v>
      </c>
      <c r="AJ1201" s="1">
        <v>1920</v>
      </c>
      <c r="AL1201" s="1">
        <v>42</v>
      </c>
    </row>
    <row r="1202" spans="1:38" x14ac:dyDescent="0.2">
      <c r="A1202" s="2" t="str">
        <f>HYPERLINK("https://www.compass.com/listing/750-riverside-drive-unit-5c-manhattan-ny-10031/75360133114300465/","750 Riverside Dr, Unit 5C")</f>
        <v>750 Riverside Dr, Unit 5C</v>
      </c>
      <c r="B1202" s="2" t="str">
        <f t="shared" si="167"/>
        <v>750 Riverside Dr</v>
      </c>
      <c r="C1202" s="1" t="s">
        <v>82</v>
      </c>
      <c r="D1202" s="1" t="s">
        <v>41</v>
      </c>
      <c r="E1202" s="3">
        <v>515000</v>
      </c>
      <c r="F1202" s="1">
        <v>780.30303030303003</v>
      </c>
      <c r="G1202" s="1">
        <v>3</v>
      </c>
      <c r="H1202" s="1">
        <v>1</v>
      </c>
      <c r="I1202" s="1">
        <v>1</v>
      </c>
      <c r="J1202" s="1">
        <v>1</v>
      </c>
      <c r="K1202" s="1">
        <v>1</v>
      </c>
      <c r="M1202" s="1">
        <v>660</v>
      </c>
      <c r="N1202" s="1">
        <v>634</v>
      </c>
      <c r="O1202" s="1">
        <v>937</v>
      </c>
      <c r="P1202" s="1">
        <v>303</v>
      </c>
      <c r="Q1202" s="1" t="s">
        <v>42</v>
      </c>
      <c r="S1202" s="1" t="s">
        <v>42</v>
      </c>
      <c r="T1202" s="1" t="s">
        <v>153</v>
      </c>
      <c r="U1202" s="1">
        <v>70</v>
      </c>
      <c r="V1202" s="5">
        <v>43638</v>
      </c>
      <c r="W1202" s="5">
        <v>43356</v>
      </c>
      <c r="X1202" s="1">
        <v>518018</v>
      </c>
      <c r="Y1202" s="1">
        <v>518018</v>
      </c>
      <c r="Z1202" s="5">
        <v>43426</v>
      </c>
      <c r="AA1202" s="1">
        <v>515000</v>
      </c>
      <c r="AB1202" s="1" t="s">
        <v>1025</v>
      </c>
      <c r="AC1202" s="5">
        <v>43462</v>
      </c>
      <c r="AF1202" s="1">
        <v>10031</v>
      </c>
      <c r="AJ1202" s="1">
        <v>1920</v>
      </c>
      <c r="AL1202" s="1">
        <v>42</v>
      </c>
    </row>
    <row r="1203" spans="1:38" x14ac:dyDescent="0.2">
      <c r="A1203" s="2" t="str">
        <f>HYPERLINK("https://www.compass.com/listing/750-riverside-drive-unit-5b-manhattan-ny-10031/29434972821586721/","750 Riverside Dr, Unit 5B")</f>
        <v>750 Riverside Dr, Unit 5B</v>
      </c>
      <c r="B1203" s="2" t="str">
        <f t="shared" si="167"/>
        <v>750 Riverside Dr</v>
      </c>
      <c r="C1203" s="1" t="s">
        <v>82</v>
      </c>
      <c r="D1203" s="1" t="s">
        <v>41</v>
      </c>
      <c r="E1203" s="3">
        <v>380250</v>
      </c>
      <c r="F1203" s="1">
        <v>717.45283018867894</v>
      </c>
      <c r="G1203" s="1">
        <v>3</v>
      </c>
      <c r="H1203" s="1">
        <v>1</v>
      </c>
      <c r="I1203" s="1">
        <v>1</v>
      </c>
      <c r="J1203" s="1">
        <v>1</v>
      </c>
      <c r="M1203" s="1">
        <v>530</v>
      </c>
      <c r="N1203" s="1">
        <v>555</v>
      </c>
      <c r="O1203" s="1">
        <v>700</v>
      </c>
      <c r="P1203" s="1">
        <v>145</v>
      </c>
      <c r="Q1203" s="1" t="s">
        <v>42</v>
      </c>
      <c r="S1203" s="1" t="s">
        <v>42</v>
      </c>
      <c r="T1203" s="1" t="s">
        <v>153</v>
      </c>
      <c r="U1203" s="1">
        <v>85</v>
      </c>
      <c r="V1203" s="5">
        <v>43678</v>
      </c>
      <c r="W1203" s="5">
        <v>42377</v>
      </c>
      <c r="X1203" s="1">
        <v>375000</v>
      </c>
      <c r="Y1203" s="1">
        <v>375000</v>
      </c>
      <c r="Z1203" s="5">
        <v>42462</v>
      </c>
      <c r="AA1203" s="1">
        <v>380250</v>
      </c>
      <c r="AB1203" s="1" t="s">
        <v>1026</v>
      </c>
      <c r="AC1203" s="5">
        <v>42537</v>
      </c>
      <c r="AF1203" s="1">
        <v>10031</v>
      </c>
      <c r="AJ1203" s="1">
        <v>1920</v>
      </c>
      <c r="AL1203" s="1">
        <v>42</v>
      </c>
    </row>
    <row r="1204" spans="1:38" x14ac:dyDescent="0.2">
      <c r="A1204" s="2" t="str">
        <f>HYPERLINK("https://www.compass.com/listing/750-riverside-drive-unit-1c-manhattan-ny-10031/120922671591502081/","750 Riverside Dr, Unit 1C")</f>
        <v>750 Riverside Dr, Unit 1C</v>
      </c>
      <c r="B1204" s="2" t="str">
        <f t="shared" si="167"/>
        <v>750 Riverside Dr</v>
      </c>
      <c r="C1204" s="1" t="s">
        <v>82</v>
      </c>
      <c r="D1204" s="1" t="s">
        <v>41</v>
      </c>
      <c r="E1204" s="3">
        <v>469718</v>
      </c>
      <c r="F1204" s="1">
        <v>711.69393939393899</v>
      </c>
      <c r="G1204" s="1">
        <v>3</v>
      </c>
      <c r="H1204" s="1">
        <v>1</v>
      </c>
      <c r="I1204" s="1">
        <v>1</v>
      </c>
      <c r="J1204" s="1">
        <v>1</v>
      </c>
      <c r="K1204" s="1">
        <v>1</v>
      </c>
      <c r="M1204" s="1">
        <v>660</v>
      </c>
      <c r="N1204" s="1">
        <v>621</v>
      </c>
      <c r="O1204" s="1">
        <v>917</v>
      </c>
      <c r="P1204" s="1">
        <v>296</v>
      </c>
      <c r="Q1204" s="1" t="s">
        <v>114</v>
      </c>
      <c r="S1204" s="1" t="s">
        <v>42</v>
      </c>
      <c r="T1204" s="1" t="s">
        <v>153</v>
      </c>
      <c r="U1204" s="1">
        <v>203</v>
      </c>
      <c r="V1204" s="5">
        <v>43669</v>
      </c>
      <c r="W1204" s="5">
        <v>43392</v>
      </c>
      <c r="X1204" s="1">
        <v>469718</v>
      </c>
      <c r="Y1204" s="1">
        <v>469718</v>
      </c>
      <c r="Z1204" s="5">
        <v>43595</v>
      </c>
      <c r="AA1204" s="1">
        <v>469718</v>
      </c>
      <c r="AB1204" s="1" t="s">
        <v>1027</v>
      </c>
      <c r="AC1204" s="5">
        <v>43663</v>
      </c>
      <c r="AF1204" s="1">
        <v>10031</v>
      </c>
      <c r="AJ1204" s="1">
        <v>1920</v>
      </c>
      <c r="AL1204" s="1">
        <v>42</v>
      </c>
    </row>
    <row r="1205" spans="1:38" x14ac:dyDescent="0.2">
      <c r="A1205" s="2" t="str">
        <f>HYPERLINK("https://www.compass.com/listing/441-convent-avenue-unit-1o-manhattan-ny-10031/212819905928618225/","441 Convent Ave, Unit 1O")</f>
        <v>441 Convent Ave, Unit 1O</v>
      </c>
      <c r="B1205" s="2" t="str">
        <f t="shared" ref="B1205:B1206" si="168">HYPERLINK("https://www.compass.com/building/441-convent-ave-manhattan-ny-10031/281997455145425477/","441 Convent Ave")</f>
        <v>441 Convent Ave</v>
      </c>
      <c r="C1205" s="1" t="s">
        <v>82</v>
      </c>
      <c r="D1205" s="1" t="s">
        <v>41</v>
      </c>
      <c r="E1205" s="3">
        <v>575000</v>
      </c>
      <c r="F1205" s="1">
        <v>702.93398533007303</v>
      </c>
      <c r="H1205" s="1">
        <v>2</v>
      </c>
      <c r="J1205" s="1">
        <v>1</v>
      </c>
      <c r="K1205" s="1">
        <v>1</v>
      </c>
      <c r="M1205" s="1">
        <v>818</v>
      </c>
      <c r="N1205" s="1">
        <v>526</v>
      </c>
      <c r="O1205" s="1">
        <v>837</v>
      </c>
      <c r="P1205" s="1">
        <v>311</v>
      </c>
      <c r="Q1205" s="1" t="s">
        <v>42</v>
      </c>
      <c r="S1205" s="1" t="s">
        <v>42</v>
      </c>
      <c r="T1205" s="1" t="s">
        <v>153</v>
      </c>
      <c r="AA1205" s="1">
        <v>575000</v>
      </c>
      <c r="AB1205" s="1" t="s">
        <v>1028</v>
      </c>
      <c r="AC1205" s="5">
        <v>43539</v>
      </c>
      <c r="AF1205" s="1">
        <v>10031</v>
      </c>
      <c r="AJ1205" s="1">
        <v>1951</v>
      </c>
      <c r="AL1205" s="1">
        <v>90</v>
      </c>
    </row>
    <row r="1206" spans="1:38" x14ac:dyDescent="0.2">
      <c r="A1206" s="2" t="str">
        <f>HYPERLINK("https://www.compass.com/listing/441-convent-avenue-unit-4k-manhattan-ny-10031/424933105677501761/","441 Convent Ave, Unit 4K")</f>
        <v>441 Convent Ave, Unit 4K</v>
      </c>
      <c r="B1206" s="2" t="str">
        <f t="shared" si="168"/>
        <v>441 Convent Ave</v>
      </c>
      <c r="C1206" s="1" t="s">
        <v>82</v>
      </c>
      <c r="D1206" s="1" t="s">
        <v>41</v>
      </c>
      <c r="E1206" s="3">
        <v>550000</v>
      </c>
      <c r="F1206" s="1">
        <v>690.08782936010005</v>
      </c>
      <c r="H1206" s="1">
        <v>2</v>
      </c>
      <c r="J1206" s="1">
        <v>1</v>
      </c>
      <c r="K1206" s="1">
        <v>1</v>
      </c>
      <c r="M1206" s="1">
        <v>797</v>
      </c>
      <c r="N1206" s="1">
        <v>515</v>
      </c>
      <c r="O1206" s="1">
        <v>775</v>
      </c>
      <c r="P1206" s="1">
        <v>260</v>
      </c>
      <c r="Q1206" s="1" t="s">
        <v>42</v>
      </c>
      <c r="S1206" s="1" t="s">
        <v>42</v>
      </c>
      <c r="T1206" s="1" t="s">
        <v>153</v>
      </c>
      <c r="AA1206" s="1">
        <v>550000</v>
      </c>
      <c r="AB1206" s="1" t="s">
        <v>1029</v>
      </c>
      <c r="AC1206" s="5">
        <v>43760</v>
      </c>
      <c r="AF1206" s="1">
        <v>10031</v>
      </c>
      <c r="AJ1206" s="1">
        <v>1951</v>
      </c>
      <c r="AL1206" s="1">
        <v>90</v>
      </c>
    </row>
    <row r="1207" spans="1:38" x14ac:dyDescent="0.2">
      <c r="A1207" s="2" t="str">
        <f>HYPERLINK("https://www.compass.com/listing/750-riverside-drive-unit-1e-manhattan-ny-10031/29434967117331761/","750 Riverside Dr, Unit 1E")</f>
        <v>750 Riverside Dr, Unit 1E</v>
      </c>
      <c r="B1207" s="2" t="str">
        <f t="shared" ref="B1207:B1212" si="169">HYPERLINK("https://www.compass.com/building/750-riverside-dr-manhattan-ny-10031/282003523909053237/","750 Riverside Dr")</f>
        <v>750 Riverside Dr</v>
      </c>
      <c r="C1207" s="1" t="s">
        <v>82</v>
      </c>
      <c r="D1207" s="1" t="s">
        <v>41</v>
      </c>
      <c r="E1207" s="3">
        <v>396474</v>
      </c>
      <c r="F1207" s="1">
        <v>523.05277044854802</v>
      </c>
      <c r="G1207" s="1">
        <v>3</v>
      </c>
      <c r="H1207" s="1">
        <v>2</v>
      </c>
      <c r="I1207" s="1">
        <v>1</v>
      </c>
      <c r="J1207" s="1">
        <v>1</v>
      </c>
      <c r="M1207" s="1">
        <v>758</v>
      </c>
      <c r="N1207" s="1">
        <v>778</v>
      </c>
      <c r="O1207" s="1">
        <v>982</v>
      </c>
      <c r="P1207" s="1">
        <v>204</v>
      </c>
      <c r="Q1207" s="1" t="s">
        <v>42</v>
      </c>
      <c r="S1207" s="1" t="s">
        <v>42</v>
      </c>
      <c r="T1207" s="1" t="s">
        <v>153</v>
      </c>
      <c r="U1207" s="1">
        <v>60</v>
      </c>
      <c r="V1207" s="5">
        <v>43679</v>
      </c>
      <c r="W1207" s="5">
        <v>41958</v>
      </c>
      <c r="X1207" s="1">
        <v>391000</v>
      </c>
      <c r="Y1207" s="1">
        <v>449650</v>
      </c>
      <c r="Z1207" s="5">
        <v>42018</v>
      </c>
      <c r="AA1207" s="1">
        <v>396474</v>
      </c>
      <c r="AB1207" s="1" t="s">
        <v>1030</v>
      </c>
      <c r="AC1207" s="5">
        <v>42395</v>
      </c>
      <c r="AF1207" s="1">
        <v>10031</v>
      </c>
      <c r="AJ1207" s="1">
        <v>1920</v>
      </c>
      <c r="AL1207" s="1">
        <v>42</v>
      </c>
    </row>
    <row r="1208" spans="1:38" x14ac:dyDescent="0.2">
      <c r="A1208" s="2" t="str">
        <f>HYPERLINK("https://www.compass.com/listing/750-riverside-drive-unit-4a-manhattan-ny-10031/29434970623771393/","750 Riverside Dr, Unit 4A")</f>
        <v>750 Riverside Dr, Unit 4A</v>
      </c>
      <c r="B1208" s="2" t="str">
        <f t="shared" si="169"/>
        <v>750 Riverside Dr</v>
      </c>
      <c r="C1208" s="1" t="s">
        <v>82</v>
      </c>
      <c r="D1208" s="1" t="s">
        <v>41</v>
      </c>
      <c r="E1208" s="3">
        <v>495846</v>
      </c>
      <c r="F1208" s="1">
        <v>713.44748201438802</v>
      </c>
      <c r="G1208" s="1">
        <v>3</v>
      </c>
      <c r="H1208" s="1">
        <v>1</v>
      </c>
      <c r="I1208" s="1">
        <v>1</v>
      </c>
      <c r="J1208" s="1">
        <v>1</v>
      </c>
      <c r="M1208" s="1">
        <v>695</v>
      </c>
      <c r="N1208" s="1">
        <v>749</v>
      </c>
      <c r="O1208" s="1">
        <v>945</v>
      </c>
      <c r="P1208" s="1">
        <v>196</v>
      </c>
      <c r="Q1208" s="1" t="s">
        <v>42</v>
      </c>
      <c r="S1208" s="1" t="s">
        <v>42</v>
      </c>
      <c r="T1208" s="1" t="s">
        <v>153</v>
      </c>
      <c r="U1208" s="1">
        <v>245</v>
      </c>
      <c r="V1208" s="5">
        <v>43663</v>
      </c>
      <c r="W1208" s="5">
        <v>41927</v>
      </c>
      <c r="X1208" s="1">
        <v>459000</v>
      </c>
      <c r="Y1208" s="1">
        <v>481950</v>
      </c>
      <c r="Z1208" s="5">
        <v>42172</v>
      </c>
      <c r="AA1208" s="1">
        <v>495846</v>
      </c>
      <c r="AB1208" s="1" t="s">
        <v>1031</v>
      </c>
      <c r="AC1208" s="5">
        <v>42382</v>
      </c>
      <c r="AF1208" s="1">
        <v>10031</v>
      </c>
      <c r="AJ1208" s="1">
        <v>1920</v>
      </c>
      <c r="AL1208" s="1">
        <v>42</v>
      </c>
    </row>
    <row r="1209" spans="1:38" x14ac:dyDescent="0.2">
      <c r="A1209" s="2" t="str">
        <f>HYPERLINK("https://www.compass.com/listing/750-riverside-drive-unit-1b-manhattan-ny-10031/29434966672672017/","750 Riverside Dr, Unit 1B")</f>
        <v>750 Riverside Dr, Unit 1B</v>
      </c>
      <c r="B1209" s="2" t="str">
        <f t="shared" si="169"/>
        <v>750 Riverside Dr</v>
      </c>
      <c r="C1209" s="1" t="s">
        <v>82</v>
      </c>
      <c r="D1209" s="1" t="s">
        <v>41</v>
      </c>
      <c r="E1209" s="3">
        <v>300144</v>
      </c>
      <c r="F1209" s="1">
        <v>566.30943396226405</v>
      </c>
      <c r="G1209" s="1">
        <v>3</v>
      </c>
      <c r="H1209" s="1">
        <v>1</v>
      </c>
      <c r="I1209" s="1">
        <v>1</v>
      </c>
      <c r="J1209" s="1">
        <v>1</v>
      </c>
      <c r="M1209" s="1">
        <v>530</v>
      </c>
      <c r="N1209" s="1">
        <v>544</v>
      </c>
      <c r="O1209" s="1">
        <v>686</v>
      </c>
      <c r="P1209" s="1">
        <v>142</v>
      </c>
      <c r="Q1209" s="1" t="s">
        <v>42</v>
      </c>
      <c r="S1209" s="1" t="s">
        <v>42</v>
      </c>
      <c r="T1209" s="1" t="s">
        <v>153</v>
      </c>
      <c r="U1209" s="1">
        <v>41</v>
      </c>
      <c r="V1209" s="5">
        <v>43682</v>
      </c>
      <c r="W1209" s="5">
        <v>42021</v>
      </c>
      <c r="X1209" s="1">
        <v>300300</v>
      </c>
      <c r="Y1209" s="1">
        <v>300300</v>
      </c>
      <c r="Z1209" s="5">
        <v>42062</v>
      </c>
      <c r="AA1209" s="1">
        <v>300144</v>
      </c>
      <c r="AB1209" s="1" t="s">
        <v>1032</v>
      </c>
      <c r="AC1209" s="5">
        <v>42349</v>
      </c>
      <c r="AF1209" s="1">
        <v>10031</v>
      </c>
      <c r="AJ1209" s="1">
        <v>1920</v>
      </c>
      <c r="AL1209" s="1">
        <v>42</v>
      </c>
    </row>
    <row r="1210" spans="1:38" x14ac:dyDescent="0.2">
      <c r="A1210" s="2" t="str">
        <f>HYPERLINK("https://www.compass.com/listing/750-riverside-drive-unit-3f-manhattan-ny-10031/29434969877120321/","750 Riverside Dr, Unit 3F")</f>
        <v>750 Riverside Dr, Unit 3F</v>
      </c>
      <c r="B1210" s="2" t="str">
        <f t="shared" si="169"/>
        <v>750 Riverside Dr</v>
      </c>
      <c r="C1210" s="1" t="s">
        <v>82</v>
      </c>
      <c r="D1210" s="1" t="s">
        <v>41</v>
      </c>
      <c r="E1210" s="3">
        <v>330564</v>
      </c>
      <c r="F1210" s="1">
        <v>553.708542713567</v>
      </c>
      <c r="G1210" s="1">
        <v>3</v>
      </c>
      <c r="H1210" s="1">
        <v>1</v>
      </c>
      <c r="I1210" s="1">
        <v>1</v>
      </c>
      <c r="J1210" s="1">
        <v>1</v>
      </c>
      <c r="M1210" s="1">
        <v>597</v>
      </c>
      <c r="N1210" s="1">
        <v>619</v>
      </c>
      <c r="O1210" s="1">
        <v>781</v>
      </c>
      <c r="P1210" s="1">
        <v>162</v>
      </c>
      <c r="Q1210" s="1" t="s">
        <v>42</v>
      </c>
      <c r="S1210" s="1" t="s">
        <v>42</v>
      </c>
      <c r="T1210" s="1" t="s">
        <v>153</v>
      </c>
      <c r="U1210" s="1">
        <v>23</v>
      </c>
      <c r="V1210" s="5">
        <v>43682</v>
      </c>
      <c r="W1210" s="5">
        <v>41956</v>
      </c>
      <c r="X1210" s="1">
        <v>326000</v>
      </c>
      <c r="Y1210" s="1">
        <v>326000</v>
      </c>
      <c r="Z1210" s="5">
        <v>41979</v>
      </c>
      <c r="AA1210" s="1">
        <v>330564</v>
      </c>
      <c r="AB1210" s="1" t="s">
        <v>1033</v>
      </c>
      <c r="AC1210" s="5">
        <v>42352</v>
      </c>
      <c r="AF1210" s="1">
        <v>10031</v>
      </c>
      <c r="AJ1210" s="1">
        <v>1920</v>
      </c>
      <c r="AL1210" s="1">
        <v>42</v>
      </c>
    </row>
    <row r="1211" spans="1:38" x14ac:dyDescent="0.2">
      <c r="A1211" s="2" t="str">
        <f>HYPERLINK("https://www.compass.com/listing/750-riverside-drive-unit-2b-manhattan-ny-10031/29434967830299937/","750 Riverside Dr, Unit 2B")</f>
        <v>750 Riverside Dr, Unit 2B</v>
      </c>
      <c r="B1211" s="2" t="str">
        <f t="shared" si="169"/>
        <v>750 Riverside Dr</v>
      </c>
      <c r="C1211" s="1" t="s">
        <v>82</v>
      </c>
      <c r="D1211" s="1" t="s">
        <v>41</v>
      </c>
      <c r="E1211" s="3">
        <v>309270</v>
      </c>
      <c r="F1211" s="1">
        <v>583.52830188679195</v>
      </c>
      <c r="G1211" s="1">
        <v>3</v>
      </c>
      <c r="H1211" s="1">
        <v>1</v>
      </c>
      <c r="I1211" s="1">
        <v>1</v>
      </c>
      <c r="J1211" s="1">
        <v>1</v>
      </c>
      <c r="M1211" s="1">
        <v>530</v>
      </c>
      <c r="N1211" s="1">
        <v>547</v>
      </c>
      <c r="O1211" s="1">
        <v>690</v>
      </c>
      <c r="P1211" s="1">
        <v>143</v>
      </c>
      <c r="Q1211" s="1" t="s">
        <v>42</v>
      </c>
      <c r="S1211" s="1" t="s">
        <v>42</v>
      </c>
      <c r="T1211" s="1" t="s">
        <v>153</v>
      </c>
      <c r="U1211" s="1">
        <v>129</v>
      </c>
      <c r="V1211" s="5">
        <v>43679</v>
      </c>
      <c r="W1211" s="5">
        <v>41927</v>
      </c>
      <c r="X1211" s="1">
        <v>281000</v>
      </c>
      <c r="Y1211" s="1">
        <v>309100</v>
      </c>
      <c r="Z1211" s="5">
        <v>42056</v>
      </c>
      <c r="AA1211" s="1">
        <v>309270</v>
      </c>
      <c r="AB1211" s="1" t="s">
        <v>1034</v>
      </c>
      <c r="AC1211" s="5">
        <v>42356</v>
      </c>
      <c r="AF1211" s="1">
        <v>10031</v>
      </c>
      <c r="AJ1211" s="1">
        <v>1920</v>
      </c>
      <c r="AL1211" s="1">
        <v>42</v>
      </c>
    </row>
    <row r="1212" spans="1:38" x14ac:dyDescent="0.2">
      <c r="A1212" s="2" t="str">
        <f>HYPERLINK("https://www.compass.com/listing/750-riverside-drive-unit-6b-manhattan-ny-10031/29434973593337233/","750 Riverside Dr, Unit 6B")</f>
        <v>750 Riverside Dr, Unit 6B</v>
      </c>
      <c r="B1212" s="2" t="str">
        <f t="shared" si="169"/>
        <v>750 Riverside Dr</v>
      </c>
      <c r="C1212" s="1" t="s">
        <v>82</v>
      </c>
      <c r="D1212" s="1" t="s">
        <v>41</v>
      </c>
      <c r="E1212" s="3">
        <v>350000</v>
      </c>
      <c r="F1212" s="1">
        <v>660.37735849056605</v>
      </c>
      <c r="G1212" s="1">
        <v>3</v>
      </c>
      <c r="H1212" s="1">
        <v>1</v>
      </c>
      <c r="I1212" s="1">
        <v>1</v>
      </c>
      <c r="J1212" s="1">
        <v>1</v>
      </c>
      <c r="M1212" s="1">
        <v>530</v>
      </c>
      <c r="N1212" s="1">
        <v>558</v>
      </c>
      <c r="O1212" s="1">
        <v>704</v>
      </c>
      <c r="P1212" s="1">
        <v>146</v>
      </c>
      <c r="Q1212" s="1" t="s">
        <v>42</v>
      </c>
      <c r="S1212" s="1" t="s">
        <v>42</v>
      </c>
      <c r="T1212" s="1" t="s">
        <v>153</v>
      </c>
      <c r="U1212" s="1">
        <v>51</v>
      </c>
      <c r="V1212" s="5">
        <v>43682</v>
      </c>
      <c r="W1212" s="5">
        <v>41947</v>
      </c>
      <c r="X1212" s="1">
        <v>350000</v>
      </c>
      <c r="Y1212" s="1">
        <v>385000</v>
      </c>
      <c r="Z1212" s="5">
        <v>41998</v>
      </c>
      <c r="AA1212" s="1">
        <v>350000</v>
      </c>
      <c r="AB1212" s="1" t="s">
        <v>1035</v>
      </c>
      <c r="AC1212" s="5">
        <v>42353</v>
      </c>
      <c r="AF1212" s="1">
        <v>10031</v>
      </c>
      <c r="AJ1212" s="1">
        <v>1920</v>
      </c>
      <c r="AL1212" s="1">
        <v>42</v>
      </c>
    </row>
    <row r="1213" spans="1:38" x14ac:dyDescent="0.2">
      <c r="A1213" s="2" t="str">
        <f>HYPERLINK("https://www.compass.com/listing/192-lenox-avenue-unit-retail-manhattan-ny-10027/13810602178853617/","192 Lenox Ave, Unit RETAIL")</f>
        <v>192 Lenox Ave, Unit RETAIL</v>
      </c>
      <c r="B1213" s="2" t="str">
        <f t="shared" ref="B1213:B1214" si="170">HYPERLINK("https://www.compass.com/building/192-lenox-ave-manhattan-ny-10027/281975082820136613/","192 Lenox Ave")</f>
        <v>192 Lenox Ave</v>
      </c>
      <c r="C1213" s="1" t="s">
        <v>60</v>
      </c>
      <c r="D1213" s="1" t="s">
        <v>41</v>
      </c>
      <c r="E1213" s="3">
        <v>1000000</v>
      </c>
      <c r="F1213" s="1">
        <v>1109.87791342952</v>
      </c>
      <c r="G1213" s="1">
        <v>1</v>
      </c>
      <c r="H1213" s="1" t="s">
        <v>94</v>
      </c>
      <c r="I1213" s="1">
        <v>1</v>
      </c>
      <c r="J1213" s="1">
        <v>0.5</v>
      </c>
      <c r="L1213" s="1">
        <v>1</v>
      </c>
      <c r="M1213" s="1">
        <v>901</v>
      </c>
      <c r="N1213" s="1">
        <v>718</v>
      </c>
      <c r="O1213" s="1">
        <v>718</v>
      </c>
      <c r="Q1213" s="1" t="s">
        <v>42</v>
      </c>
      <c r="S1213" s="1" t="s">
        <v>42</v>
      </c>
      <c r="T1213" s="1" t="s">
        <v>153</v>
      </c>
      <c r="V1213" s="5">
        <v>43271</v>
      </c>
      <c r="W1213" s="5">
        <v>42181</v>
      </c>
      <c r="X1213" s="1">
        <v>1400000</v>
      </c>
      <c r="AB1213" s="1" t="s">
        <v>177</v>
      </c>
      <c r="AF1213" s="1">
        <v>10027</v>
      </c>
      <c r="AI1213" s="1" t="s">
        <v>92</v>
      </c>
      <c r="AJ1213" s="1">
        <v>1909</v>
      </c>
      <c r="AL1213" s="1">
        <v>6</v>
      </c>
    </row>
    <row r="1214" spans="1:38" x14ac:dyDescent="0.2">
      <c r="A1214" s="2" t="str">
        <f>HYPERLINK("https://www.compass.com/listing/192-lenox-avenue-unit-phb-manhattan-ny-10027/29428194012563377/","192 Lenox Ave, Unit PHB")</f>
        <v>192 Lenox Ave, Unit PHB</v>
      </c>
      <c r="B1214" s="2" t="str">
        <f t="shared" si="170"/>
        <v>192 Lenox Ave</v>
      </c>
      <c r="C1214" s="1" t="s">
        <v>60</v>
      </c>
      <c r="D1214" s="1" t="s">
        <v>41</v>
      </c>
      <c r="E1214" s="3">
        <v>800000</v>
      </c>
      <c r="F1214" s="1">
        <v>941.17647058823502</v>
      </c>
      <c r="G1214" s="1">
        <v>3</v>
      </c>
      <c r="H1214" s="1">
        <v>1</v>
      </c>
      <c r="I1214" s="1">
        <v>2</v>
      </c>
      <c r="J1214" s="1">
        <v>1.5</v>
      </c>
      <c r="K1214" s="1">
        <v>1</v>
      </c>
      <c r="L1214" s="1">
        <v>1</v>
      </c>
      <c r="M1214" s="1">
        <v>850</v>
      </c>
      <c r="N1214" s="1">
        <v>666</v>
      </c>
      <c r="O1214" s="1">
        <v>1108</v>
      </c>
      <c r="P1214" s="1">
        <v>442</v>
      </c>
      <c r="Q1214" s="1" t="s">
        <v>42</v>
      </c>
      <c r="S1214" s="1" t="s">
        <v>42</v>
      </c>
      <c r="T1214" s="1" t="s">
        <v>153</v>
      </c>
      <c r="U1214" s="1">
        <v>175</v>
      </c>
      <c r="V1214" s="5">
        <v>44225</v>
      </c>
      <c r="W1214" s="5">
        <v>42357</v>
      </c>
      <c r="X1214" s="1">
        <v>950000</v>
      </c>
      <c r="Y1214" s="1">
        <v>849000</v>
      </c>
      <c r="Z1214" s="5">
        <v>42540</v>
      </c>
      <c r="AA1214" s="1">
        <v>800000</v>
      </c>
      <c r="AB1214" s="1" t="s">
        <v>1036</v>
      </c>
      <c r="AC1214" s="5">
        <v>42593</v>
      </c>
      <c r="AF1214" s="1">
        <v>10027</v>
      </c>
      <c r="AI1214" s="1" t="s">
        <v>103</v>
      </c>
      <c r="AJ1214" s="1">
        <v>1909</v>
      </c>
      <c r="AK1214" s="1" t="s">
        <v>140</v>
      </c>
      <c r="AL1214" s="1">
        <v>6</v>
      </c>
    </row>
    <row r="1215" spans="1:38" x14ac:dyDescent="0.2">
      <c r="A1215" s="2" t="str">
        <f>HYPERLINK("https://www.compass.com/listing/750-riverside-drive-unit-5g-manhattan-ny-10031/29434973240952177/","750 Riverside Dr, Unit 5G")</f>
        <v>750 Riverside Dr, Unit 5G</v>
      </c>
      <c r="B1215" s="2" t="str">
        <f>HYPERLINK("https://www.compass.com/building/750-riverside-dr-manhattan-ny-10031/282003523909053237/","750 Riverside Dr")</f>
        <v>750 Riverside Dr</v>
      </c>
      <c r="C1215" s="1" t="s">
        <v>82</v>
      </c>
      <c r="D1215" s="1" t="s">
        <v>41</v>
      </c>
      <c r="E1215" s="3">
        <v>458689</v>
      </c>
      <c r="G1215" s="1">
        <v>4</v>
      </c>
      <c r="H1215" s="1">
        <v>2</v>
      </c>
      <c r="I1215" s="1">
        <v>1</v>
      </c>
      <c r="J1215" s="1">
        <v>1</v>
      </c>
      <c r="N1215" s="1">
        <v>912</v>
      </c>
      <c r="O1215" s="1">
        <v>1150</v>
      </c>
      <c r="P1215" s="1">
        <v>238</v>
      </c>
      <c r="Q1215" s="1" t="s">
        <v>42</v>
      </c>
      <c r="S1215" s="1" t="s">
        <v>42</v>
      </c>
      <c r="T1215" s="1" t="s">
        <v>153</v>
      </c>
      <c r="U1215" s="1">
        <v>183</v>
      </c>
      <c r="V1215" s="5">
        <v>43608</v>
      </c>
      <c r="W1215" s="5">
        <v>42172</v>
      </c>
      <c r="X1215" s="1">
        <v>590000</v>
      </c>
      <c r="Y1215" s="1">
        <v>560000</v>
      </c>
      <c r="Z1215" s="5">
        <v>42355</v>
      </c>
      <c r="AA1215" s="1">
        <v>458688.55</v>
      </c>
      <c r="AB1215" s="1" t="s">
        <v>1037</v>
      </c>
      <c r="AC1215" s="5">
        <v>42390</v>
      </c>
      <c r="AF1215" s="1">
        <v>10031</v>
      </c>
      <c r="AJ1215" s="1">
        <v>1920</v>
      </c>
      <c r="AL1215" s="1">
        <v>42</v>
      </c>
    </row>
    <row r="1216" spans="1:38" x14ac:dyDescent="0.2">
      <c r="A1216" s="2" t="str">
        <f>HYPERLINK("https://www.compass.com/listing/155-west-126th-street-unit-2b-manhattan-ny-10027/29432254090473505/","155 W 126th St, Unit 2B")</f>
        <v>155 W 126th St, Unit 2B</v>
      </c>
      <c r="B1216" s="2" t="str">
        <f>HYPERLINK("https://www.compass.com/building/155-w-126th-st-manhattan-ny-10027/281979223730651925/","155 W 126th St")</f>
        <v>155 W 126th St</v>
      </c>
      <c r="C1216" s="1" t="s">
        <v>60</v>
      </c>
      <c r="D1216" s="1" t="s">
        <v>41</v>
      </c>
      <c r="E1216" s="3">
        <v>1150000</v>
      </c>
      <c r="F1216" s="1">
        <v>1138.6138613861301</v>
      </c>
      <c r="G1216" s="1">
        <v>4</v>
      </c>
      <c r="H1216" s="1">
        <v>2</v>
      </c>
      <c r="I1216" s="1">
        <v>2</v>
      </c>
      <c r="J1216" s="1">
        <v>2</v>
      </c>
      <c r="M1216" s="4">
        <v>1010</v>
      </c>
      <c r="N1216" s="1">
        <v>373</v>
      </c>
      <c r="O1216" s="1">
        <v>877</v>
      </c>
      <c r="P1216" s="1">
        <v>504</v>
      </c>
      <c r="Q1216" s="1" t="s">
        <v>42</v>
      </c>
      <c r="S1216" s="1" t="s">
        <v>42</v>
      </c>
      <c r="T1216" s="1" t="s">
        <v>153</v>
      </c>
      <c r="U1216" s="1">
        <v>43</v>
      </c>
      <c r="V1216" s="5">
        <v>43631</v>
      </c>
      <c r="W1216" s="5">
        <v>42803</v>
      </c>
      <c r="X1216" s="1">
        <v>1195000</v>
      </c>
      <c r="Y1216" s="1">
        <v>1195000</v>
      </c>
      <c r="Z1216" s="5">
        <v>42846</v>
      </c>
      <c r="AA1216" s="1">
        <v>1150000</v>
      </c>
      <c r="AB1216" s="1" t="s">
        <v>1038</v>
      </c>
      <c r="AC1216" s="5">
        <v>42900</v>
      </c>
      <c r="AF1216" s="1">
        <v>10027</v>
      </c>
      <c r="AI1216" s="1" t="s">
        <v>225</v>
      </c>
      <c r="AJ1216" s="1">
        <v>1910</v>
      </c>
      <c r="AL1216" s="1">
        <v>10</v>
      </c>
    </row>
    <row r="1217" spans="1:38" x14ac:dyDescent="0.2">
      <c r="A1217" s="2" t="str">
        <f>HYPERLINK("https://www.compass.com/listing/425-west-50th-street-unit-14b-manhattan-ny-10019/582565255098848297/","425 W 50th St, Unit 14B")</f>
        <v>425 W 50th St, Unit 14B</v>
      </c>
      <c r="B1217" s="2" t="str">
        <f>HYPERLINK("https://www.compass.com/building/stella-tower-manhattan-ny/281945855710262181/","Stella Tower")</f>
        <v>Stella Tower</v>
      </c>
      <c r="C1217" s="1" t="s">
        <v>67</v>
      </c>
      <c r="D1217" s="1" t="s">
        <v>41</v>
      </c>
      <c r="E1217" s="3">
        <v>42000</v>
      </c>
      <c r="F1217" s="1">
        <v>26.837060702875299</v>
      </c>
      <c r="G1217" s="1">
        <v>4</v>
      </c>
      <c r="H1217" s="1">
        <v>2</v>
      </c>
      <c r="I1217" s="1">
        <v>3</v>
      </c>
      <c r="J1217" s="1">
        <v>2.5</v>
      </c>
      <c r="K1217" s="1">
        <v>2</v>
      </c>
      <c r="L1217" s="1">
        <v>1</v>
      </c>
      <c r="M1217" s="4">
        <v>1565</v>
      </c>
      <c r="N1217" s="1">
        <v>2324</v>
      </c>
      <c r="O1217" s="1">
        <v>5000</v>
      </c>
      <c r="P1217" s="1">
        <v>2676</v>
      </c>
      <c r="Q1217" s="1" t="s">
        <v>42</v>
      </c>
      <c r="S1217" s="1" t="s">
        <v>42</v>
      </c>
      <c r="T1217" s="1" t="s">
        <v>153</v>
      </c>
      <c r="V1217" s="5">
        <v>44203</v>
      </c>
      <c r="W1217" s="5">
        <v>44056</v>
      </c>
      <c r="X1217" s="1">
        <v>4500000</v>
      </c>
      <c r="Y1217" s="1">
        <v>4500000</v>
      </c>
      <c r="Z1217" s="5">
        <v>44056</v>
      </c>
      <c r="AA1217" s="1">
        <v>42000</v>
      </c>
      <c r="AB1217" s="1" t="s">
        <v>1039</v>
      </c>
      <c r="AC1217" s="5">
        <v>44174</v>
      </c>
      <c r="AF1217" s="1">
        <v>10019</v>
      </c>
      <c r="AI1217" s="1" t="s">
        <v>233</v>
      </c>
      <c r="AJ1217" s="1">
        <v>1930</v>
      </c>
      <c r="AK1217" s="1" t="s">
        <v>46</v>
      </c>
      <c r="AL1217" s="1">
        <v>51</v>
      </c>
    </row>
    <row r="1218" spans="1:38" x14ac:dyDescent="0.2">
      <c r="A1218" s="2" t="str">
        <f>HYPERLINK("https://www.compass.com/listing/192-lenox-avenue-unit-phb-manhattan-ny-10027/29428194012563361/","192 Lenox Ave, Unit PHB")</f>
        <v>192 Lenox Ave, Unit PHB</v>
      </c>
      <c r="B1218" s="2" t="str">
        <f>HYPERLINK("https://www.compass.com/building/192-lenox-ave-manhattan-ny-10027/281975082820136613/","192 Lenox Ave")</f>
        <v>192 Lenox Ave</v>
      </c>
      <c r="C1218" s="1" t="s">
        <v>60</v>
      </c>
      <c r="D1218" s="1" t="s">
        <v>41</v>
      </c>
      <c r="E1218" s="3">
        <v>766935</v>
      </c>
      <c r="G1218" s="1">
        <v>3</v>
      </c>
      <c r="H1218" s="1">
        <v>1</v>
      </c>
      <c r="I1218" s="1">
        <v>2</v>
      </c>
      <c r="J1218" s="1">
        <v>1.5</v>
      </c>
      <c r="N1218" s="1">
        <v>666</v>
      </c>
      <c r="O1218" s="1">
        <v>1422</v>
      </c>
      <c r="P1218" s="1">
        <v>756</v>
      </c>
      <c r="Q1218" s="1" t="s">
        <v>42</v>
      </c>
      <c r="S1218" s="1" t="s">
        <v>42</v>
      </c>
      <c r="T1218" s="1" t="s">
        <v>153</v>
      </c>
      <c r="U1218" s="1">
        <v>139</v>
      </c>
      <c r="V1218" s="5">
        <v>43680</v>
      </c>
      <c r="W1218" s="5">
        <v>42035</v>
      </c>
      <c r="X1218" s="1">
        <v>785000</v>
      </c>
      <c r="Y1218" s="1">
        <v>795000</v>
      </c>
      <c r="Z1218" s="5">
        <v>42174</v>
      </c>
      <c r="AA1218" s="1">
        <v>766935</v>
      </c>
      <c r="AB1218" s="1" t="s">
        <v>1040</v>
      </c>
      <c r="AC1218" s="5">
        <v>42347</v>
      </c>
      <c r="AF1218" s="1">
        <v>10027</v>
      </c>
      <c r="AI1218" s="1" t="s">
        <v>1041</v>
      </c>
      <c r="AJ1218" s="1">
        <v>1909</v>
      </c>
      <c r="AL1218" s="1">
        <v>6</v>
      </c>
    </row>
    <row r="1219" spans="1:38" x14ac:dyDescent="0.2">
      <c r="A1219" s="2" t="str">
        <f>HYPERLINK("https://www.compass.com/listing/1890-adam-clayton-powell-jr-boulevard-unit-6c-manhattan-ny-10026/29429249215661105/","1890 Adam Clayton Powell Jr Blvd, Unit 6C")</f>
        <v>1890 Adam Clayton Powell Jr Blvd, Unit 6C</v>
      </c>
      <c r="B1219" s="2" t="str">
        <f>HYPERLINK("https://www.compass.com/building/the-strathmore-manhattan-ny/815297250581742565/","The Strathmore")</f>
        <v>The Strathmore</v>
      </c>
      <c r="C1219" s="1" t="s">
        <v>60</v>
      </c>
      <c r="D1219" s="1" t="s">
        <v>41</v>
      </c>
      <c r="E1219" s="3">
        <v>1105000</v>
      </c>
      <c r="F1219" s="1">
        <v>998.19331526648602</v>
      </c>
      <c r="G1219" s="1">
        <v>4</v>
      </c>
      <c r="H1219" s="1">
        <v>2</v>
      </c>
      <c r="I1219" s="1">
        <v>2</v>
      </c>
      <c r="J1219" s="1">
        <v>2</v>
      </c>
      <c r="K1219" s="1">
        <v>2</v>
      </c>
      <c r="M1219" s="4">
        <v>1107</v>
      </c>
      <c r="N1219" s="1">
        <v>711</v>
      </c>
      <c r="O1219" s="1">
        <v>979</v>
      </c>
      <c r="P1219" s="1">
        <v>268</v>
      </c>
      <c r="Q1219" s="1" t="s">
        <v>42</v>
      </c>
      <c r="S1219" s="1" t="s">
        <v>42</v>
      </c>
      <c r="T1219" s="1" t="s">
        <v>153</v>
      </c>
      <c r="U1219" s="1">
        <v>105</v>
      </c>
      <c r="V1219" s="5">
        <v>43649</v>
      </c>
      <c r="W1219" s="5">
        <v>42896</v>
      </c>
      <c r="X1219" s="1">
        <v>1198000</v>
      </c>
      <c r="Y1219" s="1">
        <v>1148000</v>
      </c>
      <c r="Z1219" s="5">
        <v>43001</v>
      </c>
      <c r="AA1219" s="1">
        <v>1105000</v>
      </c>
      <c r="AB1219" s="1" t="s">
        <v>1042</v>
      </c>
      <c r="AC1219" s="5">
        <v>43091</v>
      </c>
      <c r="AF1219" s="1">
        <v>10026</v>
      </c>
      <c r="AI1219" s="1" t="s">
        <v>1043</v>
      </c>
      <c r="AJ1219" s="1">
        <v>1920</v>
      </c>
      <c r="AL1219" s="1">
        <v>29</v>
      </c>
    </row>
    <row r="1220" spans="1:38" x14ac:dyDescent="0.2">
      <c r="A1220" s="2" t="str">
        <f>HYPERLINK("https://www.compass.com/listing/425-west-50th-street-unit-10h-manhattan-ny-10019/29389205952055489/","425 W 50th St, Unit 10H")</f>
        <v>425 W 50th St, Unit 10H</v>
      </c>
      <c r="B1220" s="2" t="str">
        <f>HYPERLINK("https://www.compass.com/building/stella-tower-manhattan-ny/281945855710262181/","Stella Tower")</f>
        <v>Stella Tower</v>
      </c>
      <c r="C1220" s="1" t="s">
        <v>67</v>
      </c>
      <c r="D1220" s="1" t="s">
        <v>41</v>
      </c>
      <c r="E1220" s="3">
        <v>729067</v>
      </c>
      <c r="F1220" s="1">
        <v>1043.0143061516401</v>
      </c>
      <c r="G1220" s="1">
        <v>3</v>
      </c>
      <c r="H1220" s="1" t="s">
        <v>94</v>
      </c>
      <c r="I1220" s="1">
        <v>1</v>
      </c>
      <c r="J1220" s="1">
        <v>1</v>
      </c>
      <c r="M1220" s="1">
        <v>699</v>
      </c>
      <c r="N1220" s="1">
        <v>790</v>
      </c>
      <c r="O1220" s="1">
        <v>1274</v>
      </c>
      <c r="P1220" s="1">
        <v>484</v>
      </c>
      <c r="Q1220" s="1" t="s">
        <v>42</v>
      </c>
      <c r="S1220" s="1" t="s">
        <v>42</v>
      </c>
      <c r="T1220" s="1" t="s">
        <v>153</v>
      </c>
      <c r="U1220" s="1">
        <v>222</v>
      </c>
      <c r="V1220" s="5">
        <v>42437</v>
      </c>
      <c r="W1220" s="5">
        <v>41859</v>
      </c>
      <c r="X1220" s="1">
        <v>716000</v>
      </c>
      <c r="Y1220" s="1">
        <v>716000</v>
      </c>
      <c r="AA1220" s="1">
        <v>729067</v>
      </c>
      <c r="AB1220" s="1" t="s">
        <v>1044</v>
      </c>
      <c r="AC1220" s="5">
        <v>42081</v>
      </c>
      <c r="AF1220" s="1">
        <v>10019</v>
      </c>
      <c r="AI1220" s="1" t="s">
        <v>45</v>
      </c>
      <c r="AJ1220" s="1">
        <v>1930</v>
      </c>
      <c r="AK1220" s="1" t="s">
        <v>46</v>
      </c>
      <c r="AL1220" s="1">
        <v>51</v>
      </c>
    </row>
    <row r="1221" spans="1:38" x14ac:dyDescent="0.2">
      <c r="A1221" s="2" t="str">
        <f>HYPERLINK("https://www.compass.com/listing/192-lenox-avenue-unit-3a-manhattan-ny-10027/192572573307921153/","192 Lenox Ave, Unit 3A")</f>
        <v>192 Lenox Ave, Unit 3A</v>
      </c>
      <c r="B1221" s="2" t="str">
        <f t="shared" ref="B1221:B1222" si="171">HYPERLINK("https://www.compass.com/building/192-lenox-ave-manhattan-ny-10027/281975082820136613/","192 Lenox Ave")</f>
        <v>192 Lenox Ave</v>
      </c>
      <c r="C1221" s="1" t="s">
        <v>60</v>
      </c>
      <c r="D1221" s="1" t="s">
        <v>41</v>
      </c>
      <c r="E1221" s="3">
        <v>375180</v>
      </c>
      <c r="F1221" s="1">
        <v>921.81818181818096</v>
      </c>
      <c r="G1221" s="1">
        <v>1</v>
      </c>
      <c r="H1221" s="1" t="s">
        <v>94</v>
      </c>
      <c r="I1221" s="1">
        <v>1</v>
      </c>
      <c r="J1221" s="1">
        <v>1</v>
      </c>
      <c r="M1221" s="1">
        <v>407</v>
      </c>
      <c r="N1221" s="1">
        <v>342</v>
      </c>
      <c r="O1221" s="1">
        <v>730</v>
      </c>
      <c r="P1221" s="1">
        <v>388</v>
      </c>
      <c r="Q1221" s="1" t="s">
        <v>42</v>
      </c>
      <c r="S1221" s="1" t="s">
        <v>42</v>
      </c>
      <c r="T1221" s="1" t="s">
        <v>153</v>
      </c>
      <c r="U1221" s="1">
        <v>35</v>
      </c>
      <c r="V1221" s="5">
        <v>43640</v>
      </c>
      <c r="W1221" s="5">
        <v>42035</v>
      </c>
      <c r="X1221" s="1">
        <v>350000</v>
      </c>
      <c r="Y1221" s="1">
        <v>360000</v>
      </c>
      <c r="Z1221" s="5">
        <v>42070</v>
      </c>
      <c r="AA1221" s="1">
        <v>375180</v>
      </c>
      <c r="AB1221" s="1" t="s">
        <v>1045</v>
      </c>
      <c r="AC1221" s="5">
        <v>42348</v>
      </c>
      <c r="AF1221" s="1">
        <v>10027</v>
      </c>
      <c r="AI1221" s="1" t="s">
        <v>1041</v>
      </c>
      <c r="AJ1221" s="1">
        <v>1909</v>
      </c>
      <c r="AL1221" s="1">
        <v>6</v>
      </c>
    </row>
    <row r="1222" spans="1:38" x14ac:dyDescent="0.2">
      <c r="A1222" s="2" t="str">
        <f>HYPERLINK("https://www.compass.com/listing/192-lenox-avenue-unit-3a-manhattan-ny-10027/29428192100028225/","192 Lenox Ave, Unit 3A")</f>
        <v>192 Lenox Ave, Unit 3A</v>
      </c>
      <c r="B1222" s="2" t="str">
        <f t="shared" si="171"/>
        <v>192 Lenox Ave</v>
      </c>
      <c r="C1222" s="1" t="s">
        <v>60</v>
      </c>
      <c r="D1222" s="1" t="s">
        <v>41</v>
      </c>
      <c r="E1222" s="3">
        <v>375180</v>
      </c>
      <c r="F1222" s="1">
        <v>921.81818181818096</v>
      </c>
      <c r="G1222" s="1">
        <v>1</v>
      </c>
      <c r="H1222" s="1" t="s">
        <v>94</v>
      </c>
      <c r="I1222" s="1">
        <v>1</v>
      </c>
      <c r="M1222" s="1">
        <v>407</v>
      </c>
      <c r="N1222" s="1">
        <v>342</v>
      </c>
      <c r="O1222" s="1">
        <v>730</v>
      </c>
      <c r="P1222" s="1">
        <v>388</v>
      </c>
      <c r="Q1222" s="1" t="s">
        <v>42</v>
      </c>
      <c r="S1222" s="1" t="s">
        <v>42</v>
      </c>
      <c r="T1222" s="1" t="s">
        <v>153</v>
      </c>
      <c r="U1222" s="1">
        <v>35</v>
      </c>
      <c r="V1222" s="5">
        <v>43631</v>
      </c>
      <c r="W1222" s="5">
        <v>42035</v>
      </c>
      <c r="X1222" s="1">
        <v>350000</v>
      </c>
      <c r="Y1222" s="1">
        <v>360000</v>
      </c>
      <c r="Z1222" s="5">
        <v>42070</v>
      </c>
      <c r="AA1222" s="1">
        <v>375180</v>
      </c>
      <c r="AB1222" s="1" t="s">
        <v>1045</v>
      </c>
      <c r="AC1222" s="5">
        <v>42348</v>
      </c>
      <c r="AF1222" s="1">
        <v>10027</v>
      </c>
      <c r="AI1222" s="1" t="s">
        <v>106</v>
      </c>
      <c r="AJ1222" s="1">
        <v>1909</v>
      </c>
      <c r="AL1222" s="1">
        <v>6</v>
      </c>
    </row>
    <row r="1223" spans="1:38" x14ac:dyDescent="0.2">
      <c r="A1223" s="2" t="str">
        <f>HYPERLINK("https://www.compass.com/listing/432-west-52nd-street-unit-6e-manhattan-ny-10019/29389247584717969/","432 W 52nd St, Unit 6E")</f>
        <v>432 W 52nd St, Unit 6E</v>
      </c>
      <c r="B1223" s="2" t="str">
        <f t="shared" ref="B1223:B1228" si="172">HYPERLINK("https://www.compass.com/building/432-w-52nd-st-manhattan-ny-10019/292847238378489941/","432 W 52nd St")</f>
        <v>432 W 52nd St</v>
      </c>
      <c r="C1223" s="1" t="s">
        <v>67</v>
      </c>
      <c r="D1223" s="1" t="s">
        <v>41</v>
      </c>
      <c r="E1223" s="3">
        <v>631315</v>
      </c>
      <c r="F1223" s="1">
        <v>1447.9701834862301</v>
      </c>
      <c r="G1223" s="1">
        <v>1</v>
      </c>
      <c r="H1223" s="1" t="s">
        <v>94</v>
      </c>
      <c r="I1223" s="1">
        <v>1</v>
      </c>
      <c r="J1223" s="1">
        <v>1</v>
      </c>
      <c r="M1223" s="1">
        <v>436</v>
      </c>
      <c r="N1223" s="1">
        <v>520</v>
      </c>
      <c r="O1223" s="1">
        <v>1107</v>
      </c>
      <c r="P1223" s="1">
        <v>587</v>
      </c>
      <c r="Q1223" s="1" t="s">
        <v>42</v>
      </c>
      <c r="S1223" s="1" t="s">
        <v>42</v>
      </c>
      <c r="T1223" s="1" t="s">
        <v>153</v>
      </c>
      <c r="V1223" s="5">
        <v>43654</v>
      </c>
      <c r="W1223" s="5">
        <v>41968</v>
      </c>
      <c r="X1223" s="1">
        <v>620000</v>
      </c>
      <c r="Y1223" s="1">
        <v>620000</v>
      </c>
      <c r="Z1223" s="5">
        <v>41968</v>
      </c>
      <c r="AA1223" s="1">
        <v>631315</v>
      </c>
      <c r="AB1223" s="1" t="s">
        <v>1046</v>
      </c>
      <c r="AC1223" s="5">
        <v>42079</v>
      </c>
      <c r="AF1223" s="1">
        <v>10019</v>
      </c>
      <c r="AI1223" s="1" t="s">
        <v>55</v>
      </c>
      <c r="AJ1223" s="1">
        <v>1950</v>
      </c>
      <c r="AK1223" s="1" t="s">
        <v>121</v>
      </c>
      <c r="AL1223" s="1">
        <v>55</v>
      </c>
    </row>
    <row r="1224" spans="1:38" x14ac:dyDescent="0.2">
      <c r="A1224" s="2" t="str">
        <f>HYPERLINK("https://www.compass.com/listing/432-west-52nd-street-unit-5e-manhattan-ny-10019/29514261264887345/","432 W 52nd St, Unit 5E")</f>
        <v>432 W 52nd St, Unit 5E</v>
      </c>
      <c r="B1224" s="2" t="str">
        <f t="shared" si="172"/>
        <v>432 W 52nd St</v>
      </c>
      <c r="C1224" s="1" t="s">
        <v>67</v>
      </c>
      <c r="D1224" s="1" t="s">
        <v>41</v>
      </c>
      <c r="E1224" s="3">
        <v>626224</v>
      </c>
      <c r="F1224" s="1">
        <v>1436.2935779816501</v>
      </c>
      <c r="G1224" s="1">
        <v>1</v>
      </c>
      <c r="H1224" s="1" t="s">
        <v>94</v>
      </c>
      <c r="I1224" s="1">
        <v>1</v>
      </c>
      <c r="J1224" s="1">
        <v>1</v>
      </c>
      <c r="M1224" s="1">
        <v>436</v>
      </c>
      <c r="N1224" s="1">
        <v>520</v>
      </c>
      <c r="O1224" s="1">
        <v>1107</v>
      </c>
      <c r="P1224" s="1">
        <v>587</v>
      </c>
      <c r="Q1224" s="1" t="s">
        <v>42</v>
      </c>
      <c r="S1224" s="1" t="s">
        <v>42</v>
      </c>
      <c r="T1224" s="1" t="s">
        <v>153</v>
      </c>
      <c r="V1224" s="5">
        <v>43654</v>
      </c>
      <c r="W1224" s="5">
        <v>41968</v>
      </c>
      <c r="X1224" s="1">
        <v>615000</v>
      </c>
      <c r="Y1224" s="1">
        <v>615000</v>
      </c>
      <c r="Z1224" s="5">
        <v>41968</v>
      </c>
      <c r="AA1224" s="1">
        <v>626224</v>
      </c>
      <c r="AB1224" s="1" t="s">
        <v>1047</v>
      </c>
      <c r="AC1224" s="5">
        <v>42080</v>
      </c>
      <c r="AF1224" s="1">
        <v>10019</v>
      </c>
      <c r="AI1224" s="1" t="s">
        <v>55</v>
      </c>
      <c r="AJ1224" s="1">
        <v>1950</v>
      </c>
      <c r="AK1224" s="1" t="s">
        <v>121</v>
      </c>
      <c r="AL1224" s="1">
        <v>55</v>
      </c>
    </row>
    <row r="1225" spans="1:38" x14ac:dyDescent="0.2">
      <c r="A1225" s="2" t="str">
        <f>HYPERLINK("https://www.compass.com/listing/432-west-52nd-street-unit-2e-manhattan-ny-10019/4852320918501857377/","432 W 52nd St, Unit 2E")</f>
        <v>432 W 52nd St, Unit 2E</v>
      </c>
      <c r="B1225" s="2" t="str">
        <f t="shared" si="172"/>
        <v>432 W 52nd St</v>
      </c>
      <c r="C1225" s="1" t="s">
        <v>67</v>
      </c>
      <c r="D1225" s="1" t="s">
        <v>41</v>
      </c>
      <c r="E1225" s="3">
        <v>631315</v>
      </c>
      <c r="F1225" s="1">
        <v>1447.9701834862301</v>
      </c>
      <c r="G1225" s="1">
        <v>1</v>
      </c>
      <c r="H1225" s="1" t="s">
        <v>94</v>
      </c>
      <c r="I1225" s="1">
        <v>1</v>
      </c>
      <c r="J1225" s="1">
        <v>1</v>
      </c>
      <c r="M1225" s="1">
        <v>436</v>
      </c>
      <c r="N1225" s="1">
        <v>520</v>
      </c>
      <c r="O1225" s="1">
        <v>1107</v>
      </c>
      <c r="P1225" s="1">
        <v>587</v>
      </c>
      <c r="Q1225" s="1" t="s">
        <v>42</v>
      </c>
      <c r="S1225" s="1" t="s">
        <v>42</v>
      </c>
      <c r="T1225" s="1" t="s">
        <v>153</v>
      </c>
      <c r="V1225" s="5">
        <v>43654</v>
      </c>
      <c r="W1225" s="5">
        <v>42087</v>
      </c>
      <c r="X1225" s="1">
        <v>620000</v>
      </c>
      <c r="Y1225" s="1">
        <v>620000</v>
      </c>
      <c r="Z1225" s="5">
        <v>42087</v>
      </c>
      <c r="AA1225" s="1">
        <v>631315</v>
      </c>
      <c r="AB1225" s="1" t="s">
        <v>1048</v>
      </c>
      <c r="AC1225" s="5">
        <v>42137</v>
      </c>
      <c r="AF1225" s="1">
        <v>10019</v>
      </c>
      <c r="AI1225" s="1" t="s">
        <v>55</v>
      </c>
      <c r="AJ1225" s="1">
        <v>1950</v>
      </c>
      <c r="AK1225" s="1" t="s">
        <v>121</v>
      </c>
      <c r="AL1225" s="1">
        <v>55</v>
      </c>
    </row>
    <row r="1226" spans="1:38" x14ac:dyDescent="0.2">
      <c r="A1226" s="2" t="str">
        <f>HYPERLINK("https://www.compass.com/listing/432-west-52nd-street-unit-3e-manhattan-ny-10019/4852321036974161985/","432 W 52nd St, Unit 3E")</f>
        <v>432 W 52nd St, Unit 3E</v>
      </c>
      <c r="B1226" s="2" t="str">
        <f t="shared" si="172"/>
        <v>432 W 52nd St</v>
      </c>
      <c r="C1226" s="1" t="s">
        <v>67</v>
      </c>
      <c r="D1226" s="1" t="s">
        <v>41</v>
      </c>
      <c r="E1226" s="3">
        <v>630000</v>
      </c>
      <c r="F1226" s="1">
        <v>1444.9541284403599</v>
      </c>
      <c r="G1226" s="1">
        <v>1</v>
      </c>
      <c r="H1226" s="1" t="s">
        <v>94</v>
      </c>
      <c r="I1226" s="1">
        <v>1</v>
      </c>
      <c r="J1226" s="1">
        <v>1</v>
      </c>
      <c r="M1226" s="1">
        <v>436</v>
      </c>
      <c r="N1226" s="1">
        <v>520</v>
      </c>
      <c r="O1226" s="1">
        <v>1107</v>
      </c>
      <c r="P1226" s="1">
        <v>587</v>
      </c>
      <c r="Q1226" s="1" t="s">
        <v>42</v>
      </c>
      <c r="S1226" s="1" t="s">
        <v>42</v>
      </c>
      <c r="T1226" s="1" t="s">
        <v>153</v>
      </c>
      <c r="V1226" s="5">
        <v>43654</v>
      </c>
      <c r="W1226" s="5">
        <v>42046</v>
      </c>
      <c r="X1226" s="1">
        <v>630000</v>
      </c>
      <c r="Y1226" s="1">
        <v>630000</v>
      </c>
      <c r="Z1226" s="5">
        <v>42046</v>
      </c>
      <c r="AA1226" s="1">
        <v>630000</v>
      </c>
      <c r="AB1226" s="1" t="s">
        <v>1049</v>
      </c>
      <c r="AC1226" s="5">
        <v>42144</v>
      </c>
      <c r="AF1226" s="1">
        <v>10019</v>
      </c>
      <c r="AI1226" s="1" t="s">
        <v>55</v>
      </c>
      <c r="AJ1226" s="1">
        <v>1950</v>
      </c>
      <c r="AK1226" s="1" t="s">
        <v>121</v>
      </c>
      <c r="AL1226" s="1">
        <v>55</v>
      </c>
    </row>
    <row r="1227" spans="1:38" x14ac:dyDescent="0.2">
      <c r="A1227" s="2" t="str">
        <f>HYPERLINK("https://www.compass.com/listing/432-west-52nd-street-unit-garden-e-manhattan-ny-10019/192570950305241777/","432 W 52nd St, Unit GARDEN/E")</f>
        <v>432 W 52nd St, Unit GARDEN/E</v>
      </c>
      <c r="B1227" s="2" t="str">
        <f t="shared" si="172"/>
        <v>432 W 52nd St</v>
      </c>
      <c r="C1227" s="1" t="s">
        <v>67</v>
      </c>
      <c r="D1227" s="1" t="s">
        <v>41</v>
      </c>
      <c r="E1227" s="3">
        <v>635000</v>
      </c>
      <c r="F1227" s="1">
        <v>1334.0336134453701</v>
      </c>
      <c r="G1227" s="1">
        <v>3</v>
      </c>
      <c r="H1227" s="1">
        <v>1</v>
      </c>
      <c r="I1227" s="1">
        <v>1</v>
      </c>
      <c r="J1227" s="1">
        <v>1</v>
      </c>
      <c r="M1227" s="1">
        <v>476</v>
      </c>
      <c r="N1227" s="1">
        <v>568</v>
      </c>
      <c r="O1227" s="1">
        <v>1209</v>
      </c>
      <c r="P1227" s="1">
        <v>641</v>
      </c>
      <c r="Q1227" s="1" t="s">
        <v>42</v>
      </c>
      <c r="S1227" s="1" t="s">
        <v>42</v>
      </c>
      <c r="T1227" s="1" t="s">
        <v>153</v>
      </c>
      <c r="V1227" s="5">
        <v>43654</v>
      </c>
      <c r="W1227" s="5">
        <v>41954</v>
      </c>
      <c r="X1227" s="1">
        <v>635000</v>
      </c>
      <c r="Y1227" s="1">
        <v>635000</v>
      </c>
      <c r="Z1227" s="5">
        <v>41954</v>
      </c>
      <c r="AA1227" s="1">
        <v>635000</v>
      </c>
      <c r="AB1227" s="1" t="s">
        <v>177</v>
      </c>
      <c r="AC1227" s="5">
        <v>42089</v>
      </c>
      <c r="AF1227" s="1">
        <v>10019</v>
      </c>
      <c r="AI1227" s="1" t="s">
        <v>55</v>
      </c>
      <c r="AJ1227" s="1">
        <v>1950</v>
      </c>
      <c r="AK1227" s="1" t="s">
        <v>121</v>
      </c>
      <c r="AL1227" s="1">
        <v>55</v>
      </c>
    </row>
    <row r="1228" spans="1:38" x14ac:dyDescent="0.2">
      <c r="A1228" s="2" t="str">
        <f>HYPERLINK("https://www.compass.com/listing/432-west-52nd-street-unit-7e-manhattan-ny-10019/4852318894641121089/","432 W 52nd St, Unit 7E")</f>
        <v>432 W 52nd St, Unit 7E</v>
      </c>
      <c r="B1228" s="2" t="str">
        <f t="shared" si="172"/>
        <v>432 W 52nd St</v>
      </c>
      <c r="C1228" s="1" t="s">
        <v>67</v>
      </c>
      <c r="D1228" s="1" t="s">
        <v>41</v>
      </c>
      <c r="E1228" s="3">
        <v>655000</v>
      </c>
      <c r="F1228" s="1">
        <v>1516.2037037037001</v>
      </c>
      <c r="G1228" s="1">
        <v>1</v>
      </c>
      <c r="H1228" s="1" t="s">
        <v>94</v>
      </c>
      <c r="I1228" s="1">
        <v>1</v>
      </c>
      <c r="J1228" s="1">
        <v>1</v>
      </c>
      <c r="M1228" s="1">
        <v>432</v>
      </c>
      <c r="N1228" s="1">
        <v>515</v>
      </c>
      <c r="O1228" s="1">
        <v>1096</v>
      </c>
      <c r="P1228" s="1">
        <v>581</v>
      </c>
      <c r="Q1228" s="1" t="s">
        <v>42</v>
      </c>
      <c r="S1228" s="1" t="s">
        <v>42</v>
      </c>
      <c r="T1228" s="1" t="s">
        <v>153</v>
      </c>
      <c r="V1228" s="5">
        <v>43651</v>
      </c>
      <c r="W1228" s="5">
        <v>42087</v>
      </c>
      <c r="X1228" s="1">
        <v>655000</v>
      </c>
      <c r="Y1228" s="1">
        <v>655000</v>
      </c>
      <c r="Z1228" s="5">
        <v>42087</v>
      </c>
      <c r="AA1228" s="1">
        <v>655000</v>
      </c>
      <c r="AB1228" s="1" t="s">
        <v>1050</v>
      </c>
      <c r="AC1228" s="5">
        <v>42164</v>
      </c>
      <c r="AF1228" s="1">
        <v>10019</v>
      </c>
      <c r="AI1228" s="1" t="s">
        <v>55</v>
      </c>
      <c r="AJ1228" s="1">
        <v>1950</v>
      </c>
      <c r="AK1228" s="1" t="s">
        <v>121</v>
      </c>
      <c r="AL1228" s="1">
        <v>55</v>
      </c>
    </row>
    <row r="1229" spans="1:38" x14ac:dyDescent="0.2">
      <c r="A1229" s="2" t="str">
        <f>HYPERLINK("https://www.compass.com/listing/1890-adam-clayton-powell-jr-boulevard-unit-5a-manhattan-ny-10026/313662601137308817/","1890 Adam Clayton Powell Jr Blvd, Unit 5A")</f>
        <v>1890 Adam Clayton Powell Jr Blvd, Unit 5A</v>
      </c>
      <c r="B1229" s="2" t="str">
        <f t="shared" ref="B1229:B1230" si="173">HYPERLINK("https://www.compass.com/building/the-strathmore-manhattan-ny/815297250581742565/","The Strathmore")</f>
        <v>The Strathmore</v>
      </c>
      <c r="C1229" s="1" t="s">
        <v>60</v>
      </c>
      <c r="D1229" s="1" t="s">
        <v>41</v>
      </c>
      <c r="E1229" s="3">
        <v>1335000</v>
      </c>
      <c r="F1229" s="1">
        <v>1027.7136258660501</v>
      </c>
      <c r="G1229" s="1">
        <v>5</v>
      </c>
      <c r="H1229" s="1">
        <v>2</v>
      </c>
      <c r="J1229" s="1">
        <v>2</v>
      </c>
      <c r="M1229" s="4">
        <v>1299</v>
      </c>
      <c r="N1229" s="1">
        <v>870</v>
      </c>
      <c r="O1229" s="1">
        <v>1194</v>
      </c>
      <c r="P1229" s="1">
        <v>324</v>
      </c>
      <c r="Q1229" s="1" t="s">
        <v>42</v>
      </c>
      <c r="S1229" s="1" t="s">
        <v>42</v>
      </c>
      <c r="T1229" s="1" t="s">
        <v>153</v>
      </c>
      <c r="U1229" s="1">
        <v>34</v>
      </c>
      <c r="V1229" s="5">
        <v>42959</v>
      </c>
      <c r="W1229" s="5">
        <v>42859</v>
      </c>
      <c r="X1229" s="1">
        <v>1335000</v>
      </c>
      <c r="Y1229" s="1">
        <v>1335000</v>
      </c>
      <c r="Z1229" s="5">
        <v>42894</v>
      </c>
      <c r="AA1229" s="1">
        <v>1335000</v>
      </c>
      <c r="AB1229" s="1" t="s">
        <v>1051</v>
      </c>
      <c r="AC1229" s="5">
        <v>42956</v>
      </c>
      <c r="AF1229" s="1">
        <v>10026</v>
      </c>
      <c r="AJ1229" s="1">
        <v>1920</v>
      </c>
      <c r="AL1229" s="1">
        <v>29</v>
      </c>
    </row>
    <row r="1230" spans="1:38" x14ac:dyDescent="0.2">
      <c r="A1230" s="2" t="str">
        <f>HYPERLINK("https://www.compass.com/listing/1890-adam-clayton-powell-jr-boulevard-unit-3e-manhattan-ny-10026/29429243444298657/","1890 Adam Clayton Powell Jr Blvd, Unit 3E")</f>
        <v>1890 Adam Clayton Powell Jr Blvd, Unit 3E</v>
      </c>
      <c r="B1230" s="2" t="str">
        <f t="shared" si="173"/>
        <v>The Strathmore</v>
      </c>
      <c r="C1230" s="1" t="s">
        <v>60</v>
      </c>
      <c r="D1230" s="1" t="s">
        <v>41</v>
      </c>
      <c r="E1230" s="3">
        <v>1145961</v>
      </c>
      <c r="F1230" s="1">
        <v>680.90389185977403</v>
      </c>
      <c r="G1230" s="1">
        <v>5</v>
      </c>
      <c r="H1230" s="1">
        <v>3</v>
      </c>
      <c r="I1230" s="1">
        <v>2</v>
      </c>
      <c r="J1230" s="1">
        <v>2</v>
      </c>
      <c r="K1230" s="1">
        <v>2</v>
      </c>
      <c r="M1230" s="4">
        <v>1683</v>
      </c>
      <c r="N1230" s="1">
        <v>975.55</v>
      </c>
      <c r="O1230" s="1">
        <v>1294.79</v>
      </c>
      <c r="P1230" s="1">
        <v>319.25</v>
      </c>
      <c r="Q1230" s="1" t="s">
        <v>42</v>
      </c>
      <c r="S1230" s="1" t="s">
        <v>42</v>
      </c>
      <c r="T1230" s="1" t="s">
        <v>153</v>
      </c>
      <c r="U1230" s="1">
        <v>67</v>
      </c>
      <c r="V1230" s="5">
        <v>42259</v>
      </c>
      <c r="W1230" s="5">
        <v>41442</v>
      </c>
      <c r="X1230" s="1">
        <v>1159000</v>
      </c>
      <c r="Y1230" s="1">
        <v>1159000</v>
      </c>
      <c r="Z1230" s="5">
        <v>41509</v>
      </c>
      <c r="AA1230" s="1">
        <v>1145961.25</v>
      </c>
      <c r="AB1230" s="1" t="s">
        <v>1052</v>
      </c>
      <c r="AC1230" s="5">
        <v>41781</v>
      </c>
      <c r="AF1230" s="1">
        <v>10026</v>
      </c>
      <c r="AI1230" s="1" t="s">
        <v>66</v>
      </c>
      <c r="AJ1230" s="1">
        <v>1920</v>
      </c>
      <c r="AL1230" s="1">
        <v>29</v>
      </c>
    </row>
    <row r="1231" spans="1:38" x14ac:dyDescent="0.2">
      <c r="A1231" s="2" t="str">
        <f>HYPERLINK("https://www.compass.com/listing/425-west-50th-street-unit-12b-manhattan-ny-10019/29389212025475361/","425 W 50th St, Unit 12B")</f>
        <v>425 W 50th St, Unit 12B</v>
      </c>
      <c r="B1231" s="2" t="str">
        <f>HYPERLINK("https://www.compass.com/building/stella-tower-manhattan-ny/281945855710262181/","Stella Tower")</f>
        <v>Stella Tower</v>
      </c>
      <c r="C1231" s="1" t="s">
        <v>67</v>
      </c>
      <c r="D1231" s="1" t="s">
        <v>41</v>
      </c>
      <c r="E1231" s="3">
        <v>840056</v>
      </c>
      <c r="F1231" s="1">
        <v>1272.8125</v>
      </c>
      <c r="G1231" s="1">
        <v>2</v>
      </c>
      <c r="H1231" s="1" t="s">
        <v>94</v>
      </c>
      <c r="I1231" s="1">
        <v>1</v>
      </c>
      <c r="J1231" s="1">
        <v>1</v>
      </c>
      <c r="M1231" s="1">
        <v>660</v>
      </c>
      <c r="N1231" s="1">
        <v>747</v>
      </c>
      <c r="O1231" s="1">
        <v>1205</v>
      </c>
      <c r="P1231" s="1">
        <v>458</v>
      </c>
      <c r="Q1231" s="1" t="s">
        <v>42</v>
      </c>
      <c r="S1231" s="1" t="s">
        <v>42</v>
      </c>
      <c r="T1231" s="1" t="s">
        <v>153</v>
      </c>
      <c r="U1231" s="1">
        <v>220</v>
      </c>
      <c r="V1231" s="5">
        <v>42978</v>
      </c>
      <c r="W1231" s="5">
        <v>41859</v>
      </c>
      <c r="X1231" s="1">
        <v>825000</v>
      </c>
      <c r="Y1231" s="1">
        <v>825000</v>
      </c>
      <c r="AA1231" s="1">
        <v>840056.25</v>
      </c>
      <c r="AB1231" s="1" t="s">
        <v>1053</v>
      </c>
      <c r="AC1231" s="5">
        <v>42079</v>
      </c>
      <c r="AF1231" s="1">
        <v>10019</v>
      </c>
      <c r="AI1231" s="1" t="s">
        <v>45</v>
      </c>
      <c r="AJ1231" s="1">
        <v>1930</v>
      </c>
      <c r="AK1231" s="1" t="s">
        <v>46</v>
      </c>
      <c r="AL1231" s="1">
        <v>51</v>
      </c>
    </row>
    <row r="1232" spans="1:38" x14ac:dyDescent="0.2">
      <c r="A1232" s="2" t="str">
        <f>HYPERLINK("https://www.compass.com/listing/432-west-52nd-street-unit-4e-manhattan-ny-10019/4852319884924692929/","432 W 52nd St, Unit 4E")</f>
        <v>432 W 52nd St, Unit 4E</v>
      </c>
      <c r="B1232" s="2" t="str">
        <f>HYPERLINK("https://www.compass.com/building/432-w-52nd-st-manhattan-ny-10019/292847238378489941/","432 W 52nd St")</f>
        <v>432 W 52nd St</v>
      </c>
      <c r="C1232" s="1" t="s">
        <v>67</v>
      </c>
      <c r="D1232" s="1" t="s">
        <v>41</v>
      </c>
      <c r="E1232" s="3">
        <v>672045</v>
      </c>
      <c r="F1232" s="1">
        <v>1541.38761467889</v>
      </c>
      <c r="G1232" s="1">
        <v>1</v>
      </c>
      <c r="H1232" s="1" t="s">
        <v>94</v>
      </c>
      <c r="I1232" s="1">
        <v>1</v>
      </c>
      <c r="J1232" s="1">
        <v>1</v>
      </c>
      <c r="M1232" s="1">
        <v>436</v>
      </c>
      <c r="N1232" s="1">
        <v>520</v>
      </c>
      <c r="O1232" s="1">
        <v>1107</v>
      </c>
      <c r="P1232" s="1">
        <v>587</v>
      </c>
      <c r="Q1232" s="1" t="s">
        <v>42</v>
      </c>
      <c r="S1232" s="1" t="s">
        <v>42</v>
      </c>
      <c r="T1232" s="1" t="s">
        <v>153</v>
      </c>
      <c r="U1232" s="1">
        <v>186</v>
      </c>
      <c r="V1232" s="5">
        <v>43651</v>
      </c>
      <c r="W1232" s="5">
        <v>41922</v>
      </c>
      <c r="X1232" s="1">
        <v>610000</v>
      </c>
      <c r="Y1232" s="1">
        <v>660000</v>
      </c>
      <c r="Z1232" s="5">
        <v>42108</v>
      </c>
      <c r="AA1232" s="1">
        <v>672045</v>
      </c>
      <c r="AB1232" s="1" t="s">
        <v>1054</v>
      </c>
      <c r="AC1232" s="5">
        <v>42173</v>
      </c>
      <c r="AF1232" s="1">
        <v>10019</v>
      </c>
      <c r="AI1232" s="1" t="s">
        <v>55</v>
      </c>
      <c r="AJ1232" s="1">
        <v>1950</v>
      </c>
      <c r="AK1232" s="1" t="s">
        <v>121</v>
      </c>
      <c r="AL1232" s="1">
        <v>55</v>
      </c>
    </row>
    <row r="1233" spans="1:38" x14ac:dyDescent="0.2">
      <c r="A1233" s="2" t="str">
        <f>HYPERLINK("https://www.compass.com/listing/1890-adam-clayton-powell-jr-boulevard-unit-6b-manhattan-ny-10026/192567553187476865/","1890 Adam Clayton Powell Jr Blvd, Unit 6B")</f>
        <v>1890 Adam Clayton Powell Jr Blvd, Unit 6B</v>
      </c>
      <c r="B1233" s="2" t="str">
        <f t="shared" ref="B1233:B1239" si="174">HYPERLINK("https://www.compass.com/building/the-strathmore-manhattan-ny/815297250581742565/","The Strathmore")</f>
        <v>The Strathmore</v>
      </c>
      <c r="C1233" s="1" t="s">
        <v>60</v>
      </c>
      <c r="D1233" s="1" t="s">
        <v>41</v>
      </c>
      <c r="E1233" s="3">
        <v>1519000</v>
      </c>
      <c r="F1233" s="1">
        <v>798.63301787592002</v>
      </c>
      <c r="G1233" s="1">
        <v>5</v>
      </c>
      <c r="H1233" s="1">
        <v>3</v>
      </c>
      <c r="I1233" s="1">
        <v>2</v>
      </c>
      <c r="J1233" s="1">
        <v>2</v>
      </c>
      <c r="K1233" s="1">
        <v>2</v>
      </c>
      <c r="M1233" s="4">
        <v>1902</v>
      </c>
      <c r="N1233" s="1">
        <v>1</v>
      </c>
      <c r="O1233" s="1">
        <v>2</v>
      </c>
      <c r="P1233" s="1">
        <v>1</v>
      </c>
      <c r="Q1233" s="1" t="s">
        <v>42</v>
      </c>
      <c r="S1233" s="1" t="s">
        <v>42</v>
      </c>
      <c r="T1233" s="1" t="s">
        <v>153</v>
      </c>
      <c r="U1233" s="1">
        <v>6</v>
      </c>
      <c r="V1233" s="5">
        <v>41705</v>
      </c>
      <c r="W1233" s="5">
        <v>41699</v>
      </c>
      <c r="X1233" s="1">
        <v>1519000</v>
      </c>
      <c r="Y1233" s="1">
        <v>1519000</v>
      </c>
      <c r="AB1233" s="1" t="s">
        <v>177</v>
      </c>
      <c r="AC1233" s="5">
        <v>41705</v>
      </c>
      <c r="AF1233" s="1">
        <v>10026</v>
      </c>
      <c r="AI1233" s="1" t="s">
        <v>66</v>
      </c>
      <c r="AJ1233" s="1">
        <v>1920</v>
      </c>
      <c r="AL1233" s="1">
        <v>29</v>
      </c>
    </row>
    <row r="1234" spans="1:38" x14ac:dyDescent="0.2">
      <c r="A1234" s="2" t="str">
        <f>HYPERLINK("https://www.compass.com/listing/1890-adam-clayton-powell-jr-boulevard-unit-3a-manhattan-ny-10026/29429242664091473/","1890 Adam Clayton Powell Jr Blvd, Unit 3A")</f>
        <v>1890 Adam Clayton Powell Jr Blvd, Unit 3A</v>
      </c>
      <c r="B1234" s="2" t="str">
        <f t="shared" si="174"/>
        <v>The Strathmore</v>
      </c>
      <c r="C1234" s="1" t="s">
        <v>60</v>
      </c>
      <c r="D1234" s="1" t="s">
        <v>41</v>
      </c>
      <c r="E1234" s="3">
        <v>1125000</v>
      </c>
      <c r="F1234" s="1">
        <v>866.05080831408702</v>
      </c>
      <c r="G1234" s="1">
        <v>5</v>
      </c>
      <c r="H1234" s="1">
        <v>3</v>
      </c>
      <c r="I1234" s="1">
        <v>2</v>
      </c>
      <c r="J1234" s="1">
        <v>2</v>
      </c>
      <c r="M1234" s="4">
        <v>1299</v>
      </c>
      <c r="N1234" s="1">
        <v>872</v>
      </c>
      <c r="O1234" s="1">
        <v>1196</v>
      </c>
      <c r="P1234" s="1">
        <v>324</v>
      </c>
      <c r="Q1234" s="1" t="s">
        <v>42</v>
      </c>
      <c r="S1234" s="1" t="s">
        <v>42</v>
      </c>
      <c r="T1234" s="1" t="s">
        <v>153</v>
      </c>
      <c r="U1234" s="1">
        <v>82</v>
      </c>
      <c r="V1234" s="5">
        <v>43633</v>
      </c>
      <c r="W1234" s="5">
        <v>42950</v>
      </c>
      <c r="X1234" s="1">
        <v>1250000</v>
      </c>
      <c r="Y1234" s="1">
        <v>1175000</v>
      </c>
      <c r="Z1234" s="5">
        <v>43032</v>
      </c>
      <c r="AA1234" s="1">
        <v>1125000</v>
      </c>
      <c r="AB1234" s="1" t="s">
        <v>1055</v>
      </c>
      <c r="AC1234" s="5">
        <v>43069</v>
      </c>
      <c r="AF1234" s="1">
        <v>10026</v>
      </c>
      <c r="AI1234" s="1" t="s">
        <v>1056</v>
      </c>
      <c r="AJ1234" s="1">
        <v>1920</v>
      </c>
      <c r="AK1234" s="1" t="s">
        <v>140</v>
      </c>
      <c r="AL1234" s="1">
        <v>29</v>
      </c>
    </row>
    <row r="1235" spans="1:38" x14ac:dyDescent="0.2">
      <c r="A1235" s="2" t="str">
        <f>HYPERLINK("https://www.compass.com/listing/1890-adam-clayton-powell-jr-boulevard-unit-3e-manhattan-ny-10026/29429243452687281/","1890 Adam Clayton Powell Jr Blvd, Unit 3E")</f>
        <v>1890 Adam Clayton Powell Jr Blvd, Unit 3E</v>
      </c>
      <c r="B1235" s="2" t="str">
        <f t="shared" si="174"/>
        <v>The Strathmore</v>
      </c>
      <c r="C1235" s="1" t="s">
        <v>60</v>
      </c>
      <c r="D1235" s="1" t="s">
        <v>41</v>
      </c>
      <c r="E1235" s="3">
        <v>1625000</v>
      </c>
      <c r="F1235" s="1">
        <v>965.53773024361203</v>
      </c>
      <c r="G1235" s="1">
        <v>5</v>
      </c>
      <c r="H1235" s="1">
        <v>3</v>
      </c>
      <c r="I1235" s="1">
        <v>2</v>
      </c>
      <c r="J1235" s="1">
        <v>2</v>
      </c>
      <c r="M1235" s="4">
        <v>1683</v>
      </c>
      <c r="N1235" s="1">
        <v>1082</v>
      </c>
      <c r="O1235" s="1">
        <v>1608</v>
      </c>
      <c r="P1235" s="1">
        <v>526</v>
      </c>
      <c r="Q1235" s="1" t="s">
        <v>42</v>
      </c>
      <c r="S1235" s="1" t="s">
        <v>42</v>
      </c>
      <c r="T1235" s="1" t="s">
        <v>153</v>
      </c>
      <c r="U1235" s="1">
        <v>84</v>
      </c>
      <c r="V1235" s="5">
        <v>43650</v>
      </c>
      <c r="W1235" s="5">
        <v>42907</v>
      </c>
      <c r="X1235" s="1">
        <v>1650000</v>
      </c>
      <c r="Y1235" s="1">
        <v>1651890</v>
      </c>
      <c r="AA1235" s="1">
        <v>1625000</v>
      </c>
      <c r="AB1235" s="1" t="s">
        <v>1057</v>
      </c>
      <c r="AC1235" s="5">
        <v>42991</v>
      </c>
      <c r="AF1235" s="1">
        <v>10026</v>
      </c>
      <c r="AI1235" s="1" t="s">
        <v>1056</v>
      </c>
      <c r="AJ1235" s="1">
        <v>1920</v>
      </c>
      <c r="AK1235" s="1" t="s">
        <v>140</v>
      </c>
      <c r="AL1235" s="1">
        <v>29</v>
      </c>
    </row>
    <row r="1236" spans="1:38" x14ac:dyDescent="0.2">
      <c r="A1236" s="2" t="str">
        <f>HYPERLINK("https://www.compass.com/listing/1890-adam-clayton-powell-jr-boulevard-unit-5d-manhattan-ny-10026/29429246992679921/","1890 Adam Clayton Powell Jr Blvd, Unit 5D")</f>
        <v>1890 Adam Clayton Powell Jr Blvd, Unit 5D</v>
      </c>
      <c r="B1236" s="2" t="str">
        <f t="shared" si="174"/>
        <v>The Strathmore</v>
      </c>
      <c r="C1236" s="1" t="s">
        <v>60</v>
      </c>
      <c r="D1236" s="1" t="s">
        <v>41</v>
      </c>
      <c r="E1236" s="3">
        <v>1108874</v>
      </c>
      <c r="F1236" s="1">
        <v>827.51791044776098</v>
      </c>
      <c r="G1236" s="1">
        <v>5</v>
      </c>
      <c r="H1236" s="1">
        <v>3</v>
      </c>
      <c r="I1236" s="1">
        <v>2</v>
      </c>
      <c r="J1236" s="1">
        <v>2</v>
      </c>
      <c r="K1236" s="1">
        <v>2</v>
      </c>
      <c r="M1236" s="4">
        <v>1340</v>
      </c>
      <c r="N1236" s="1">
        <v>776.13</v>
      </c>
      <c r="O1236" s="1">
        <v>1030.31</v>
      </c>
      <c r="P1236" s="1">
        <v>254.166666666666</v>
      </c>
      <c r="Q1236" s="1" t="s">
        <v>42</v>
      </c>
      <c r="S1236" s="1" t="s">
        <v>42</v>
      </c>
      <c r="T1236" s="1" t="s">
        <v>153</v>
      </c>
      <c r="U1236" s="1">
        <v>61</v>
      </c>
      <c r="V1236" s="5">
        <v>43633</v>
      </c>
      <c r="W1236" s="5">
        <v>41705</v>
      </c>
      <c r="X1236" s="1">
        <v>1089000</v>
      </c>
      <c r="Y1236" s="1">
        <v>1089000</v>
      </c>
      <c r="Z1236" s="5">
        <v>41766</v>
      </c>
      <c r="AA1236" s="1">
        <v>1108874</v>
      </c>
      <c r="AB1236" s="1" t="s">
        <v>1058</v>
      </c>
      <c r="AC1236" s="5">
        <v>42021</v>
      </c>
      <c r="AF1236" s="1">
        <v>10026</v>
      </c>
      <c r="AI1236" s="1" t="s">
        <v>119</v>
      </c>
      <c r="AJ1236" s="1">
        <v>1920</v>
      </c>
      <c r="AK1236" s="1" t="s">
        <v>140</v>
      </c>
      <c r="AL1236" s="1">
        <v>29</v>
      </c>
    </row>
    <row r="1237" spans="1:38" x14ac:dyDescent="0.2">
      <c r="A1237" s="2" t="str">
        <f>HYPERLINK("https://www.compass.com/listing/1890-adam-clayton-powell-jr-boulevard-unit-6a-manhattan-ny-10026/29429248141919249/","1890 Adam Clayton Powell Jr Blvd, Unit 6A")</f>
        <v>1890 Adam Clayton Powell Jr Blvd, Unit 6A</v>
      </c>
      <c r="B1237" s="2" t="str">
        <f t="shared" si="174"/>
        <v>The Strathmore</v>
      </c>
      <c r="C1237" s="1" t="s">
        <v>60</v>
      </c>
      <c r="D1237" s="1" t="s">
        <v>41</v>
      </c>
      <c r="E1237" s="3">
        <v>1125000</v>
      </c>
      <c r="F1237" s="1">
        <v>830.25830258302506</v>
      </c>
      <c r="G1237" s="1">
        <v>5</v>
      </c>
      <c r="H1237" s="1">
        <v>3</v>
      </c>
      <c r="I1237" s="1">
        <v>2</v>
      </c>
      <c r="J1237" s="1">
        <v>2</v>
      </c>
      <c r="K1237" s="1">
        <v>2</v>
      </c>
      <c r="M1237" s="4">
        <v>1355</v>
      </c>
      <c r="N1237" s="1">
        <v>785.42</v>
      </c>
      <c r="O1237" s="1">
        <v>1042.44999999999</v>
      </c>
      <c r="P1237" s="1">
        <v>257</v>
      </c>
      <c r="Q1237" s="1" t="s">
        <v>42</v>
      </c>
      <c r="S1237" s="1" t="s">
        <v>42</v>
      </c>
      <c r="T1237" s="1" t="s">
        <v>153</v>
      </c>
      <c r="U1237" s="1">
        <v>73</v>
      </c>
      <c r="V1237" s="5">
        <v>43633</v>
      </c>
      <c r="W1237" s="5">
        <v>41829</v>
      </c>
      <c r="X1237" s="1">
        <v>1149000</v>
      </c>
      <c r="Y1237" s="1">
        <v>1149000</v>
      </c>
      <c r="Z1237" s="5">
        <v>41902</v>
      </c>
      <c r="AA1237" s="1">
        <v>1125000</v>
      </c>
      <c r="AB1237" s="1" t="s">
        <v>1059</v>
      </c>
      <c r="AC1237" s="5">
        <v>42097</v>
      </c>
      <c r="AF1237" s="1">
        <v>10026</v>
      </c>
      <c r="AI1237" s="1" t="s">
        <v>66</v>
      </c>
      <c r="AJ1237" s="1">
        <v>1920</v>
      </c>
      <c r="AL1237" s="1">
        <v>29</v>
      </c>
    </row>
    <row r="1238" spans="1:38" x14ac:dyDescent="0.2">
      <c r="A1238" s="2" t="str">
        <f>HYPERLINK("https://www.compass.com/listing/1890-adam-clayton-powell-jr-boulevard-unit-1a-manhattan-ny-10026/238168616665612321/","1890 Adam Clayton Powell Jr Blvd, Unit 1A")</f>
        <v>1890 Adam Clayton Powell Jr Blvd, Unit 1A</v>
      </c>
      <c r="B1238" s="2" t="str">
        <f t="shared" si="174"/>
        <v>The Strathmore</v>
      </c>
      <c r="D1238" s="1" t="s">
        <v>41</v>
      </c>
      <c r="E1238" s="3">
        <v>815000</v>
      </c>
      <c r="F1238" s="1">
        <v>719.329214474845</v>
      </c>
      <c r="G1238" s="1">
        <v>4</v>
      </c>
      <c r="H1238" s="1">
        <v>2</v>
      </c>
      <c r="I1238" s="1">
        <v>2</v>
      </c>
      <c r="J1238" s="1">
        <v>2</v>
      </c>
      <c r="K1238" s="1">
        <v>2</v>
      </c>
      <c r="M1238" s="4">
        <v>1133</v>
      </c>
      <c r="N1238" s="1">
        <v>800</v>
      </c>
      <c r="O1238" s="1">
        <v>1331</v>
      </c>
      <c r="P1238" s="1">
        <v>531</v>
      </c>
      <c r="Q1238" s="1" t="s">
        <v>42</v>
      </c>
      <c r="S1238" s="1" t="s">
        <v>42</v>
      </c>
      <c r="T1238" s="1" t="s">
        <v>153</v>
      </c>
      <c r="U1238" s="1">
        <v>252</v>
      </c>
      <c r="V1238" s="5">
        <v>43958</v>
      </c>
      <c r="W1238" s="5">
        <v>43579</v>
      </c>
      <c r="X1238" s="1">
        <v>1039000</v>
      </c>
      <c r="Y1238" s="1">
        <v>850000</v>
      </c>
      <c r="Z1238" s="5">
        <v>43831</v>
      </c>
      <c r="AA1238" s="1">
        <v>815000</v>
      </c>
      <c r="AB1238" s="1" t="s">
        <v>1060</v>
      </c>
      <c r="AC1238" s="5">
        <v>43945</v>
      </c>
      <c r="AF1238" s="1">
        <v>10026</v>
      </c>
      <c r="AI1238" s="1" t="s">
        <v>66</v>
      </c>
      <c r="AJ1238" s="1">
        <v>1920</v>
      </c>
      <c r="AK1238" s="1" t="s">
        <v>359</v>
      </c>
      <c r="AL1238" s="1">
        <v>29</v>
      </c>
    </row>
    <row r="1239" spans="1:38" x14ac:dyDescent="0.2">
      <c r="A1239" s="2" t="str">
        <f>HYPERLINK("https://www.compass.com/listing/1890-adam-clayton-powell-jr-boulevard-unit-5e-manhattan-ny-10026/29429247781196049/","1890 Adam Clayton Powell Jr Blvd, Unit 5E")</f>
        <v>1890 Adam Clayton Powell Jr Blvd, Unit 5E</v>
      </c>
      <c r="B1239" s="2" t="str">
        <f t="shared" si="174"/>
        <v>The Strathmore</v>
      </c>
      <c r="C1239" s="1" t="s">
        <v>60</v>
      </c>
      <c r="D1239" s="1" t="s">
        <v>41</v>
      </c>
      <c r="E1239" s="3">
        <v>1199000</v>
      </c>
      <c r="F1239" s="1">
        <v>712.41830065359397</v>
      </c>
      <c r="G1239" s="1">
        <v>5</v>
      </c>
      <c r="H1239" s="1">
        <v>3</v>
      </c>
      <c r="I1239" s="1">
        <v>2</v>
      </c>
      <c r="J1239" s="1">
        <v>2</v>
      </c>
      <c r="K1239" s="1">
        <v>2</v>
      </c>
      <c r="M1239" s="4">
        <v>1683</v>
      </c>
      <c r="N1239" s="1">
        <v>975.55</v>
      </c>
      <c r="O1239" s="1">
        <v>1294.79</v>
      </c>
      <c r="P1239" s="1">
        <v>319.25</v>
      </c>
      <c r="Q1239" s="1" t="s">
        <v>42</v>
      </c>
      <c r="S1239" s="1" t="s">
        <v>42</v>
      </c>
      <c r="T1239" s="1" t="s">
        <v>153</v>
      </c>
      <c r="U1239" s="1">
        <v>21</v>
      </c>
      <c r="V1239" s="5">
        <v>43689</v>
      </c>
      <c r="W1239" s="5">
        <v>41557</v>
      </c>
      <c r="X1239" s="1">
        <v>1199000</v>
      </c>
      <c r="Y1239" s="1">
        <v>1199000</v>
      </c>
      <c r="Z1239" s="5">
        <v>41578</v>
      </c>
      <c r="AA1239" s="1">
        <v>1199000</v>
      </c>
      <c r="AB1239" s="1" t="s">
        <v>1061</v>
      </c>
      <c r="AC1239" s="5">
        <v>41789</v>
      </c>
      <c r="AF1239" s="1">
        <v>10026</v>
      </c>
      <c r="AI1239" s="1" t="s">
        <v>66</v>
      </c>
      <c r="AJ1239" s="1">
        <v>1920</v>
      </c>
      <c r="AL1239" s="1">
        <v>29</v>
      </c>
    </row>
    <row r="1240" spans="1:38" x14ac:dyDescent="0.2">
      <c r="A1240" s="2" t="str">
        <f>HYPERLINK("https://www.compass.com/listing/432-west-52nd-street-unit-3b-manhattan-ny-10019/29389238424357857/","432 W 52nd St, Unit 3B")</f>
        <v>432 W 52nd St, Unit 3B</v>
      </c>
      <c r="B1240" s="2" t="str">
        <f t="shared" ref="B1240:B1243" si="175">HYPERLINK("https://www.compass.com/building/432-w-52nd-st-manhattan-ny-10019/292847238378489941/","432 W 52nd St")</f>
        <v>432 W 52nd St</v>
      </c>
      <c r="C1240" s="1" t="s">
        <v>67</v>
      </c>
      <c r="D1240" s="1" t="s">
        <v>41</v>
      </c>
      <c r="E1240" s="3">
        <v>676177</v>
      </c>
      <c r="F1240" s="1">
        <v>1509.3236607142801</v>
      </c>
      <c r="G1240" s="1">
        <v>1</v>
      </c>
      <c r="H1240" s="1" t="s">
        <v>94</v>
      </c>
      <c r="I1240" s="1">
        <v>1</v>
      </c>
      <c r="J1240" s="1">
        <v>1</v>
      </c>
      <c r="M1240" s="1">
        <v>448</v>
      </c>
      <c r="N1240" s="1">
        <v>535</v>
      </c>
      <c r="O1240" s="1">
        <v>1138</v>
      </c>
      <c r="P1240" s="1">
        <v>603</v>
      </c>
      <c r="Q1240" s="1" t="s">
        <v>42</v>
      </c>
      <c r="S1240" s="1" t="s">
        <v>42</v>
      </c>
      <c r="T1240" s="1" t="s">
        <v>153</v>
      </c>
      <c r="U1240" s="1">
        <v>71</v>
      </c>
      <c r="V1240" s="5">
        <v>43654</v>
      </c>
      <c r="W1240" s="5">
        <v>41922</v>
      </c>
      <c r="X1240" s="1">
        <v>670000</v>
      </c>
      <c r="Y1240" s="1">
        <v>670000</v>
      </c>
      <c r="Z1240" s="5">
        <v>41993</v>
      </c>
      <c r="AA1240" s="1">
        <v>676177</v>
      </c>
      <c r="AB1240" s="1" t="s">
        <v>1062</v>
      </c>
      <c r="AC1240" s="5">
        <v>42075</v>
      </c>
      <c r="AF1240" s="1">
        <v>10019</v>
      </c>
      <c r="AI1240" s="1" t="s">
        <v>55</v>
      </c>
      <c r="AJ1240" s="1">
        <v>1950</v>
      </c>
      <c r="AK1240" s="1" t="s">
        <v>121</v>
      </c>
      <c r="AL1240" s="1">
        <v>55</v>
      </c>
    </row>
    <row r="1241" spans="1:38" x14ac:dyDescent="0.2">
      <c r="A1241" s="2" t="str">
        <f>HYPERLINK("https://www.compass.com/listing/432-west-52nd-street-unit-2b-manhattan-ny-10019/29389235236686769/","432 W 52nd St, Unit 2B")</f>
        <v>432 W 52nd St, Unit 2B</v>
      </c>
      <c r="B1241" s="2" t="str">
        <f t="shared" si="175"/>
        <v>432 W 52nd St</v>
      </c>
      <c r="C1241" s="1" t="s">
        <v>67</v>
      </c>
      <c r="D1241" s="1" t="s">
        <v>41</v>
      </c>
      <c r="E1241" s="3">
        <v>677262</v>
      </c>
      <c r="F1241" s="1">
        <v>1511.7455357142801</v>
      </c>
      <c r="G1241" s="1">
        <v>2</v>
      </c>
      <c r="H1241" s="1" t="s">
        <v>94</v>
      </c>
      <c r="I1241" s="1">
        <v>1</v>
      </c>
      <c r="J1241" s="1">
        <v>1</v>
      </c>
      <c r="M1241" s="1">
        <v>448</v>
      </c>
      <c r="N1241" s="1">
        <v>535</v>
      </c>
      <c r="O1241" s="1">
        <v>1138</v>
      </c>
      <c r="P1241" s="1">
        <v>603</v>
      </c>
      <c r="Q1241" s="1" t="s">
        <v>42</v>
      </c>
      <c r="S1241" s="1" t="s">
        <v>42</v>
      </c>
      <c r="T1241" s="1" t="s">
        <v>153</v>
      </c>
      <c r="V1241" s="5">
        <v>43654</v>
      </c>
      <c r="W1241" s="5">
        <v>42004</v>
      </c>
      <c r="X1241" s="1">
        <v>665000</v>
      </c>
      <c r="Y1241" s="1">
        <v>665000</v>
      </c>
      <c r="Z1241" s="5">
        <v>42004</v>
      </c>
      <c r="AA1241" s="1">
        <v>677262</v>
      </c>
      <c r="AB1241" s="1" t="s">
        <v>1063</v>
      </c>
      <c r="AC1241" s="5">
        <v>42075</v>
      </c>
      <c r="AF1241" s="1">
        <v>10019</v>
      </c>
      <c r="AI1241" s="1" t="s">
        <v>55</v>
      </c>
      <c r="AJ1241" s="1">
        <v>1950</v>
      </c>
      <c r="AK1241" s="1" t="s">
        <v>121</v>
      </c>
      <c r="AL1241" s="1">
        <v>55</v>
      </c>
    </row>
    <row r="1242" spans="1:38" x14ac:dyDescent="0.2">
      <c r="A1242" s="2" t="str">
        <f>HYPERLINK("https://www.compass.com/listing/432-west-52nd-street-unit-4b-manhattan-ny-10019/4852317623213359857/","432 W 52nd St, Unit 4B")</f>
        <v>432 W 52nd St, Unit 4B</v>
      </c>
      <c r="B1242" s="2" t="str">
        <f t="shared" si="175"/>
        <v>432 W 52nd St</v>
      </c>
      <c r="C1242" s="1" t="s">
        <v>67</v>
      </c>
      <c r="D1242" s="1" t="s">
        <v>41</v>
      </c>
      <c r="E1242" s="3">
        <v>675000</v>
      </c>
      <c r="F1242" s="1">
        <v>1506.69642857142</v>
      </c>
      <c r="G1242" s="1">
        <v>2</v>
      </c>
      <c r="H1242" s="1" t="s">
        <v>94</v>
      </c>
      <c r="I1242" s="1">
        <v>1</v>
      </c>
      <c r="J1242" s="1">
        <v>1</v>
      </c>
      <c r="M1242" s="1">
        <v>448</v>
      </c>
      <c r="N1242" s="1">
        <v>535</v>
      </c>
      <c r="O1242" s="1">
        <v>1138</v>
      </c>
      <c r="P1242" s="1">
        <v>603</v>
      </c>
      <c r="Q1242" s="1" t="s">
        <v>42</v>
      </c>
      <c r="S1242" s="1" t="s">
        <v>42</v>
      </c>
      <c r="T1242" s="1" t="s">
        <v>153</v>
      </c>
      <c r="V1242" s="5">
        <v>43654</v>
      </c>
      <c r="W1242" s="5">
        <v>42013</v>
      </c>
      <c r="X1242" s="1">
        <v>675000</v>
      </c>
      <c r="Y1242" s="1">
        <v>675000</v>
      </c>
      <c r="Z1242" s="5">
        <v>42013</v>
      </c>
      <c r="AA1242" s="1">
        <v>675000</v>
      </c>
      <c r="AB1242" s="1" t="s">
        <v>1064</v>
      </c>
      <c r="AC1242" s="5">
        <v>42089</v>
      </c>
      <c r="AF1242" s="1">
        <v>10019</v>
      </c>
      <c r="AI1242" s="1" t="s">
        <v>55</v>
      </c>
      <c r="AJ1242" s="1">
        <v>1950</v>
      </c>
      <c r="AK1242" s="1" t="s">
        <v>121</v>
      </c>
      <c r="AL1242" s="1">
        <v>55</v>
      </c>
    </row>
    <row r="1243" spans="1:38" x14ac:dyDescent="0.2">
      <c r="A1243" s="2" t="str">
        <f>HYPERLINK("https://www.compass.com/listing/432-west-52nd-street-unit-5b-manhattan-ny-10019/4852320452707618689/","432 W 52nd St, Unit 5B")</f>
        <v>432 W 52nd St, Unit 5B</v>
      </c>
      <c r="B1243" s="2" t="str">
        <f t="shared" si="175"/>
        <v>432 W 52nd St</v>
      </c>
      <c r="C1243" s="1" t="s">
        <v>67</v>
      </c>
      <c r="D1243" s="1" t="s">
        <v>41</v>
      </c>
      <c r="E1243" s="3">
        <v>686205</v>
      </c>
      <c r="F1243" s="1">
        <v>1531.7075892857099</v>
      </c>
      <c r="G1243" s="1">
        <v>1</v>
      </c>
      <c r="H1243" s="1" t="s">
        <v>94</v>
      </c>
      <c r="I1243" s="1">
        <v>1</v>
      </c>
      <c r="J1243" s="1">
        <v>1</v>
      </c>
      <c r="M1243" s="1">
        <v>448</v>
      </c>
      <c r="N1243" s="1">
        <v>535</v>
      </c>
      <c r="O1243" s="1">
        <v>1138</v>
      </c>
      <c r="P1243" s="1">
        <v>603</v>
      </c>
      <c r="Q1243" s="1" t="s">
        <v>42</v>
      </c>
      <c r="S1243" s="1" t="s">
        <v>42</v>
      </c>
      <c r="T1243" s="1" t="s">
        <v>153</v>
      </c>
      <c r="V1243" s="5">
        <v>43654</v>
      </c>
      <c r="W1243" s="5">
        <v>42027</v>
      </c>
      <c r="X1243" s="1">
        <v>680000</v>
      </c>
      <c r="Y1243" s="1">
        <v>680000</v>
      </c>
      <c r="Z1243" s="5">
        <v>42027</v>
      </c>
      <c r="AA1243" s="1">
        <v>686205</v>
      </c>
      <c r="AB1243" s="1" t="s">
        <v>1065</v>
      </c>
      <c r="AC1243" s="5">
        <v>42138</v>
      </c>
      <c r="AF1243" s="1">
        <v>10019</v>
      </c>
      <c r="AI1243" s="1" t="s">
        <v>55</v>
      </c>
      <c r="AJ1243" s="1">
        <v>1950</v>
      </c>
      <c r="AK1243" s="1" t="s">
        <v>121</v>
      </c>
      <c r="AL1243" s="1">
        <v>55</v>
      </c>
    </row>
    <row r="1244" spans="1:38" x14ac:dyDescent="0.2">
      <c r="A1244" s="2" t="str">
        <f>HYPERLINK("https://www.compass.com/listing/1890-adam-clayton-powell-jr-boulevard-unit-2a-manhattan-ny-10026/29429240667656337/","1890 Adam Clayton Powell Jr Blvd, Unit 2A")</f>
        <v>1890 Adam Clayton Powell Jr Blvd, Unit 2A</v>
      </c>
      <c r="B1244" s="2" t="str">
        <f>HYPERLINK("https://www.compass.com/building/the-strathmore-manhattan-ny/815297250581742565/","The Strathmore")</f>
        <v>The Strathmore</v>
      </c>
      <c r="C1244" s="1" t="s">
        <v>60</v>
      </c>
      <c r="D1244" s="1" t="s">
        <v>41</v>
      </c>
      <c r="E1244" s="3">
        <v>1100000</v>
      </c>
      <c r="F1244" s="1">
        <v>837.77608530083705</v>
      </c>
      <c r="G1244" s="1">
        <v>5</v>
      </c>
      <c r="H1244" s="1">
        <v>3</v>
      </c>
      <c r="I1244" s="1">
        <v>2</v>
      </c>
      <c r="J1244" s="1">
        <v>2</v>
      </c>
      <c r="K1244" s="1">
        <v>2</v>
      </c>
      <c r="M1244" s="4">
        <v>1313</v>
      </c>
      <c r="N1244" s="1">
        <v>761</v>
      </c>
      <c r="O1244" s="1">
        <v>1048</v>
      </c>
      <c r="P1244" s="1">
        <v>287</v>
      </c>
      <c r="Q1244" s="1" t="s">
        <v>42</v>
      </c>
      <c r="S1244" s="1" t="s">
        <v>42</v>
      </c>
      <c r="T1244" s="1" t="s">
        <v>153</v>
      </c>
      <c r="U1244" s="1">
        <v>25</v>
      </c>
      <c r="V1244" s="5">
        <v>43633</v>
      </c>
      <c r="W1244" s="5">
        <v>42041</v>
      </c>
      <c r="X1244" s="1">
        <v>939000</v>
      </c>
      <c r="Y1244" s="1">
        <v>939000</v>
      </c>
      <c r="Z1244" s="5">
        <v>42066</v>
      </c>
      <c r="AA1244" s="1">
        <v>1100000</v>
      </c>
      <c r="AB1244" s="1" t="s">
        <v>1066</v>
      </c>
      <c r="AC1244" s="5">
        <v>42095</v>
      </c>
      <c r="AF1244" s="1">
        <v>10026</v>
      </c>
      <c r="AI1244" s="1" t="s">
        <v>66</v>
      </c>
      <c r="AJ1244" s="1">
        <v>1920</v>
      </c>
      <c r="AL1244" s="1">
        <v>29</v>
      </c>
    </row>
    <row r="1245" spans="1:38" x14ac:dyDescent="0.2">
      <c r="A1245" s="2" t="str">
        <f>HYPERLINK("https://www.compass.com/listing/425-west-50th-street-unit-12b-manhattan-ny-10019/29389212025475345/","425 W 50th St, Unit 12B")</f>
        <v>425 W 50th St, Unit 12B</v>
      </c>
      <c r="B1245" s="2" t="str">
        <f>HYPERLINK("https://www.compass.com/building/stella-tower-manhattan-ny/281945855710262181/","Stella Tower")</f>
        <v>Stella Tower</v>
      </c>
      <c r="C1245" s="1" t="s">
        <v>67</v>
      </c>
      <c r="D1245" s="1" t="s">
        <v>41</v>
      </c>
      <c r="E1245" s="3">
        <v>950000</v>
      </c>
      <c r="F1245" s="1">
        <v>1439.3939393939299</v>
      </c>
      <c r="G1245" s="1">
        <v>2</v>
      </c>
      <c r="H1245" s="1" t="s">
        <v>94</v>
      </c>
      <c r="I1245" s="1">
        <v>1</v>
      </c>
      <c r="J1245" s="1">
        <v>1</v>
      </c>
      <c r="M1245" s="1">
        <v>660</v>
      </c>
      <c r="N1245" s="1">
        <v>748</v>
      </c>
      <c r="O1245" s="1">
        <v>1568</v>
      </c>
      <c r="P1245" s="1">
        <v>820</v>
      </c>
      <c r="Q1245" s="1" t="s">
        <v>42</v>
      </c>
      <c r="S1245" s="1" t="s">
        <v>42</v>
      </c>
      <c r="T1245" s="1" t="s">
        <v>153</v>
      </c>
      <c r="U1245" s="1">
        <v>54</v>
      </c>
      <c r="V1245" s="5">
        <v>43648</v>
      </c>
      <c r="W1245" s="5">
        <v>43155</v>
      </c>
      <c r="X1245" s="1">
        <v>1150000</v>
      </c>
      <c r="Y1245" s="1">
        <v>980000</v>
      </c>
      <c r="Z1245" s="5">
        <v>43209</v>
      </c>
      <c r="AA1245" s="1">
        <v>950000</v>
      </c>
      <c r="AB1245" s="1" t="s">
        <v>1067</v>
      </c>
      <c r="AC1245" s="5">
        <v>43270</v>
      </c>
      <c r="AF1245" s="1">
        <v>10019</v>
      </c>
      <c r="AI1245" s="1" t="s">
        <v>45</v>
      </c>
      <c r="AJ1245" s="1">
        <v>1930</v>
      </c>
      <c r="AK1245" s="1" t="s">
        <v>46</v>
      </c>
      <c r="AL1245" s="1">
        <v>51</v>
      </c>
    </row>
    <row r="1246" spans="1:38" x14ac:dyDescent="0.2">
      <c r="A1246" s="2" t="str">
        <f>HYPERLINK("https://www.compass.com/listing/432-west-52nd-street-unit-6b-manhattan-ny-10019/29389246527753329/","432 W 52nd St, Unit 6B")</f>
        <v>432 W 52nd St, Unit 6B</v>
      </c>
      <c r="B1246" s="2" t="str">
        <f>HYPERLINK("https://www.compass.com/building/432-w-52nd-st-manhattan-ny-10019/292847238378489941/","432 W 52nd St")</f>
        <v>432 W 52nd St</v>
      </c>
      <c r="C1246" s="1" t="s">
        <v>67</v>
      </c>
      <c r="D1246" s="1" t="s">
        <v>41</v>
      </c>
      <c r="E1246" s="3">
        <v>728049</v>
      </c>
      <c r="F1246" s="1">
        <v>1625.109375</v>
      </c>
      <c r="G1246" s="1">
        <v>1</v>
      </c>
      <c r="H1246" s="1" t="s">
        <v>94</v>
      </c>
      <c r="I1246" s="1">
        <v>1</v>
      </c>
      <c r="J1246" s="1">
        <v>1</v>
      </c>
      <c r="M1246" s="1">
        <v>448</v>
      </c>
      <c r="N1246" s="1">
        <v>535</v>
      </c>
      <c r="O1246" s="1">
        <v>1138</v>
      </c>
      <c r="P1246" s="1">
        <v>603</v>
      </c>
      <c r="Q1246" s="1" t="s">
        <v>42</v>
      </c>
      <c r="S1246" s="1" t="s">
        <v>42</v>
      </c>
      <c r="T1246" s="1" t="s">
        <v>153</v>
      </c>
      <c r="U1246" s="1">
        <v>164</v>
      </c>
      <c r="V1246" s="5">
        <v>43651</v>
      </c>
      <c r="W1246" s="5">
        <v>42007</v>
      </c>
      <c r="X1246" s="1">
        <v>715000</v>
      </c>
      <c r="Y1246" s="1">
        <v>715000</v>
      </c>
      <c r="Z1246" s="5">
        <v>42171</v>
      </c>
      <c r="AA1246" s="1">
        <v>728049</v>
      </c>
      <c r="AB1246" s="1" t="s">
        <v>1068</v>
      </c>
      <c r="AC1246" s="5">
        <v>42237</v>
      </c>
      <c r="AF1246" s="1">
        <v>10019</v>
      </c>
      <c r="AI1246" s="1" t="s">
        <v>55</v>
      </c>
      <c r="AJ1246" s="1">
        <v>1950</v>
      </c>
      <c r="AK1246" s="1" t="s">
        <v>121</v>
      </c>
      <c r="AL1246" s="1">
        <v>55</v>
      </c>
    </row>
    <row r="1247" spans="1:38" x14ac:dyDescent="0.2">
      <c r="A1247" s="2" t="str">
        <f>HYPERLINK("https://www.compass.com/listing/1890-adam-clayton-powell-jr-boulevard-unit-3c-manhattan-ny-10026/29429243050021057/","1890 Adam Clayton Powell Jr Blvd, Unit 3C")</f>
        <v>1890 Adam Clayton Powell Jr Blvd, Unit 3C</v>
      </c>
      <c r="B1247" s="2" t="str">
        <f t="shared" ref="B1247:B1249" si="176">HYPERLINK("https://www.compass.com/building/the-strathmore-manhattan-ny/815297250581742565/","The Strathmore")</f>
        <v>The Strathmore</v>
      </c>
      <c r="C1247" s="1" t="s">
        <v>60</v>
      </c>
      <c r="D1247" s="1" t="s">
        <v>41</v>
      </c>
      <c r="E1247" s="3">
        <v>738231</v>
      </c>
      <c r="F1247" s="1">
        <v>666.87533875338704</v>
      </c>
      <c r="G1247" s="1">
        <v>4</v>
      </c>
      <c r="H1247" s="1">
        <v>2</v>
      </c>
      <c r="I1247" s="1">
        <v>2</v>
      </c>
      <c r="J1247" s="1">
        <v>2</v>
      </c>
      <c r="K1247" s="1">
        <v>2</v>
      </c>
      <c r="M1247" s="4">
        <v>1107</v>
      </c>
      <c r="N1247" s="1">
        <v>641.47</v>
      </c>
      <c r="O1247" s="1">
        <v>851.45</v>
      </c>
      <c r="P1247" s="1">
        <v>210</v>
      </c>
      <c r="Q1247" s="1" t="s">
        <v>42</v>
      </c>
      <c r="S1247" s="1" t="s">
        <v>42</v>
      </c>
      <c r="T1247" s="1" t="s">
        <v>153</v>
      </c>
      <c r="U1247" s="1">
        <v>31</v>
      </c>
      <c r="V1247" s="5">
        <v>43635</v>
      </c>
      <c r="W1247" s="5">
        <v>41464</v>
      </c>
      <c r="X1247" s="1">
        <v>729000</v>
      </c>
      <c r="Y1247" s="1">
        <v>729000</v>
      </c>
      <c r="Z1247" s="5">
        <v>41495</v>
      </c>
      <c r="AA1247" s="1">
        <v>738231</v>
      </c>
      <c r="AB1247" s="1" t="s">
        <v>1069</v>
      </c>
      <c r="AC1247" s="5">
        <v>41762</v>
      </c>
      <c r="AF1247" s="1">
        <v>10026</v>
      </c>
      <c r="AI1247" s="1" t="s">
        <v>66</v>
      </c>
      <c r="AJ1247" s="1">
        <v>1920</v>
      </c>
      <c r="AL1247" s="1">
        <v>29</v>
      </c>
    </row>
    <row r="1248" spans="1:38" x14ac:dyDescent="0.2">
      <c r="A1248" s="2" t="str">
        <f>HYPERLINK("https://www.compass.com/listing/1890-adam-clayton-powell-jr-boulevard-unit-4c-manhattan-ny-10026/29429244694201281/","1890 Adam Clayton Powell Jr Blvd, Unit 4C")</f>
        <v>1890 Adam Clayton Powell Jr Blvd, Unit 4C</v>
      </c>
      <c r="B1248" s="2" t="str">
        <f t="shared" si="176"/>
        <v>The Strathmore</v>
      </c>
      <c r="C1248" s="1" t="s">
        <v>60</v>
      </c>
      <c r="D1248" s="1" t="s">
        <v>41</v>
      </c>
      <c r="E1248" s="3">
        <v>779045</v>
      </c>
      <c r="F1248" s="1">
        <v>703.74435411020704</v>
      </c>
      <c r="G1248" s="1">
        <v>4</v>
      </c>
      <c r="H1248" s="1">
        <v>2</v>
      </c>
      <c r="I1248" s="1">
        <v>2</v>
      </c>
      <c r="J1248" s="1">
        <v>2</v>
      </c>
      <c r="K1248" s="1">
        <v>2</v>
      </c>
      <c r="M1248" s="4">
        <v>1107</v>
      </c>
      <c r="N1248" s="1">
        <v>641.66999999999996</v>
      </c>
      <c r="O1248" s="1">
        <v>851.65</v>
      </c>
      <c r="P1248" s="1">
        <v>210</v>
      </c>
      <c r="Q1248" s="1" t="s">
        <v>42</v>
      </c>
      <c r="S1248" s="1" t="s">
        <v>42</v>
      </c>
      <c r="T1248" s="1" t="s">
        <v>153</v>
      </c>
      <c r="U1248" s="1">
        <v>15</v>
      </c>
      <c r="V1248" s="5">
        <v>43633</v>
      </c>
      <c r="W1248" s="5">
        <v>41482</v>
      </c>
      <c r="X1248" s="1">
        <v>779000</v>
      </c>
      <c r="Y1248" s="1">
        <v>779000</v>
      </c>
      <c r="Z1248" s="5">
        <v>41497</v>
      </c>
      <c r="AA1248" s="1">
        <v>779045</v>
      </c>
      <c r="AB1248" s="1" t="s">
        <v>1070</v>
      </c>
      <c r="AC1248" s="5">
        <v>41752</v>
      </c>
      <c r="AF1248" s="1">
        <v>10026</v>
      </c>
      <c r="AI1248" s="1" t="s">
        <v>66</v>
      </c>
      <c r="AJ1248" s="1">
        <v>1920</v>
      </c>
      <c r="AL1248" s="1">
        <v>29</v>
      </c>
    </row>
    <row r="1249" spans="1:38" x14ac:dyDescent="0.2">
      <c r="A1249" s="2" t="str">
        <f>HYPERLINK("https://www.compass.com/listing/1890-adam-clayton-powell-jr-boulevard-unit-6c-manhattan-ny-10026/29429249215661089/","1890 Adam Clayton Powell Jr Blvd, Unit 6C")</f>
        <v>1890 Adam Clayton Powell Jr Blvd, Unit 6C</v>
      </c>
      <c r="B1249" s="2" t="str">
        <f t="shared" si="176"/>
        <v>The Strathmore</v>
      </c>
      <c r="C1249" s="1" t="s">
        <v>60</v>
      </c>
      <c r="D1249" s="1" t="s">
        <v>41</v>
      </c>
      <c r="E1249" s="3">
        <v>819691</v>
      </c>
      <c r="F1249" s="1">
        <v>740.46160794941204</v>
      </c>
      <c r="G1249" s="1">
        <v>4</v>
      </c>
      <c r="H1249" s="1">
        <v>2</v>
      </c>
      <c r="I1249" s="1">
        <v>2</v>
      </c>
      <c r="J1249" s="1">
        <v>2</v>
      </c>
      <c r="K1249" s="1">
        <v>2</v>
      </c>
      <c r="M1249" s="4">
        <v>1107</v>
      </c>
      <c r="N1249" s="1">
        <v>641.66999999999996</v>
      </c>
      <c r="O1249" s="1">
        <v>851.65</v>
      </c>
      <c r="P1249" s="1">
        <v>210</v>
      </c>
      <c r="Q1249" s="1" t="s">
        <v>42</v>
      </c>
      <c r="S1249" s="1" t="s">
        <v>42</v>
      </c>
      <c r="T1249" s="1" t="s">
        <v>153</v>
      </c>
      <c r="U1249" s="1">
        <v>18</v>
      </c>
      <c r="V1249" s="5">
        <v>43664</v>
      </c>
      <c r="W1249" s="5">
        <v>41464</v>
      </c>
      <c r="X1249" s="1">
        <v>829000</v>
      </c>
      <c r="Y1249" s="1">
        <v>829000</v>
      </c>
      <c r="Z1249" s="5">
        <v>41482</v>
      </c>
      <c r="AA1249" s="1">
        <v>819691</v>
      </c>
      <c r="AB1249" s="1" t="s">
        <v>1071</v>
      </c>
      <c r="AC1249" s="5">
        <v>41769</v>
      </c>
      <c r="AF1249" s="1">
        <v>10026</v>
      </c>
      <c r="AI1249" s="1" t="s">
        <v>66</v>
      </c>
      <c r="AJ1249" s="1">
        <v>1920</v>
      </c>
      <c r="AL1249" s="1">
        <v>29</v>
      </c>
    </row>
    <row r="1250" spans="1:38" x14ac:dyDescent="0.2">
      <c r="A1250" s="2" t="str">
        <f>HYPERLINK("https://www.compass.com/listing/120-west-118th-street-unit-3-manhattan-ny-10026/29515204228319201/","120 W 118th St, Unit 3")</f>
        <v>120 W 118th St, Unit 3</v>
      </c>
      <c r="B1250" s="2" t="str">
        <f>HYPERLINK("https://www.compass.com/building/120-w-118th-st-manhattan-ny-10026/281974302755086805/","120 W 118th St")</f>
        <v>120 W 118th St</v>
      </c>
      <c r="C1250" s="1" t="s">
        <v>60</v>
      </c>
      <c r="D1250" s="1" t="s">
        <v>41</v>
      </c>
      <c r="E1250" s="3">
        <v>1420459</v>
      </c>
      <c r="F1250" s="1">
        <v>1178.80414937759</v>
      </c>
      <c r="G1250" s="1">
        <v>5</v>
      </c>
      <c r="H1250" s="1">
        <v>2</v>
      </c>
      <c r="I1250" s="1">
        <v>2</v>
      </c>
      <c r="J1250" s="1">
        <v>2</v>
      </c>
      <c r="K1250" s="1">
        <v>2</v>
      </c>
      <c r="M1250" s="4">
        <v>1205</v>
      </c>
      <c r="N1250" s="1">
        <v>264</v>
      </c>
      <c r="O1250" s="1">
        <v>1048</v>
      </c>
      <c r="P1250" s="1">
        <v>784</v>
      </c>
      <c r="Q1250" s="1" t="s">
        <v>42</v>
      </c>
      <c r="S1250" s="1" t="s">
        <v>42</v>
      </c>
      <c r="T1250" s="1" t="s">
        <v>153</v>
      </c>
      <c r="U1250" s="1">
        <v>127</v>
      </c>
      <c r="V1250" s="5">
        <v>43648</v>
      </c>
      <c r="W1250" s="5">
        <v>43118</v>
      </c>
      <c r="X1250" s="1">
        <v>1395000</v>
      </c>
      <c r="Y1250" s="1">
        <v>1395000</v>
      </c>
      <c r="Z1250" s="5">
        <v>43368</v>
      </c>
      <c r="AA1250" s="1">
        <v>1420459</v>
      </c>
      <c r="AB1250" s="1" t="s">
        <v>1072</v>
      </c>
      <c r="AC1250" s="5">
        <v>43504</v>
      </c>
      <c r="AF1250" s="1">
        <v>10026</v>
      </c>
      <c r="AI1250" s="1" t="s">
        <v>146</v>
      </c>
      <c r="AJ1250" s="1">
        <v>1910</v>
      </c>
      <c r="AL1250" s="1">
        <v>30</v>
      </c>
    </row>
    <row r="1251" spans="1:38" x14ac:dyDescent="0.2">
      <c r="A1251" s="2" t="str">
        <f>HYPERLINK("https://www.compass.com/listing/102-west-118th-street-unit-4-manhattan-ny-10026/162370563518531441/","102 W 118th St, Unit 4")</f>
        <v>102 W 118th St, Unit 4</v>
      </c>
      <c r="B1251" s="2" t="str">
        <f>HYPERLINK("https://www.compass.com/building/102-w-118th-st-manhattan-ny-10026/281973841314537445/","102 W 118th St")</f>
        <v>102 W 118th St</v>
      </c>
      <c r="C1251" s="1" t="s">
        <v>60</v>
      </c>
      <c r="D1251" s="1" t="s">
        <v>41</v>
      </c>
      <c r="E1251" s="3">
        <v>1476463</v>
      </c>
      <c r="F1251" s="1">
        <v>1343.4599636032699</v>
      </c>
      <c r="G1251" s="1">
        <v>4</v>
      </c>
      <c r="H1251" s="1">
        <v>2</v>
      </c>
      <c r="I1251" s="1">
        <v>2</v>
      </c>
      <c r="J1251" s="1">
        <v>2</v>
      </c>
      <c r="K1251" s="1">
        <v>2</v>
      </c>
      <c r="M1251" s="4">
        <v>1099</v>
      </c>
      <c r="N1251" s="1">
        <v>604</v>
      </c>
      <c r="O1251" s="1">
        <v>788</v>
      </c>
      <c r="P1251" s="1">
        <v>184</v>
      </c>
      <c r="Q1251" s="1" t="s">
        <v>42</v>
      </c>
      <c r="S1251" s="1" t="s">
        <v>42</v>
      </c>
      <c r="T1251" s="1" t="s">
        <v>153</v>
      </c>
      <c r="U1251" s="1">
        <v>22</v>
      </c>
      <c r="V1251" s="5">
        <v>43846</v>
      </c>
      <c r="W1251" s="5">
        <v>43477</v>
      </c>
      <c r="X1251" s="1">
        <v>1450000</v>
      </c>
      <c r="Y1251" s="1">
        <v>1450000</v>
      </c>
      <c r="Z1251" s="5">
        <v>43503</v>
      </c>
      <c r="AA1251" s="1">
        <v>1476462.5</v>
      </c>
      <c r="AB1251" s="1" t="s">
        <v>1073</v>
      </c>
      <c r="AC1251" s="5">
        <v>43584</v>
      </c>
      <c r="AF1251" s="1">
        <v>10026</v>
      </c>
      <c r="AI1251" s="1" t="s">
        <v>75</v>
      </c>
      <c r="AJ1251" s="1">
        <v>1910</v>
      </c>
      <c r="AL1251" s="1">
        <v>4</v>
      </c>
    </row>
    <row r="1252" spans="1:38" x14ac:dyDescent="0.2">
      <c r="A1252" s="2" t="str">
        <f>HYPERLINK("https://www.compass.com/listing/1890-adam-clayton-powell-jr-boulevard-unit-5e-manhattan-ny-10026/278790988539978129/","1890 Adam Clayton Powell Jr Blvd, Unit 5E")</f>
        <v>1890 Adam Clayton Powell Jr Blvd, Unit 5E</v>
      </c>
      <c r="B1252" s="2" t="str">
        <f t="shared" ref="B1252:B1262" si="177">HYPERLINK("https://www.compass.com/building/the-strathmore-manhattan-ny/815297250581742565/","The Strathmore")</f>
        <v>The Strathmore</v>
      </c>
      <c r="C1252" s="1" t="s">
        <v>60</v>
      </c>
      <c r="D1252" s="1" t="s">
        <v>41</v>
      </c>
      <c r="E1252" s="3">
        <v>1685000</v>
      </c>
      <c r="F1252" s="1">
        <v>1001.18835412953</v>
      </c>
      <c r="G1252" s="1">
        <v>5</v>
      </c>
      <c r="H1252" s="1">
        <v>3</v>
      </c>
      <c r="J1252" s="1">
        <v>2</v>
      </c>
      <c r="K1252" s="1">
        <v>2</v>
      </c>
      <c r="M1252" s="4">
        <v>1683</v>
      </c>
      <c r="N1252" s="1">
        <v>1082</v>
      </c>
      <c r="O1252" s="1">
        <v>1747</v>
      </c>
      <c r="P1252" s="1">
        <v>665</v>
      </c>
      <c r="Q1252" s="1" t="s">
        <v>42</v>
      </c>
      <c r="S1252" s="1" t="s">
        <v>42</v>
      </c>
      <c r="T1252" s="1" t="s">
        <v>153</v>
      </c>
      <c r="U1252" s="1">
        <v>292</v>
      </c>
      <c r="V1252" s="5">
        <v>43948</v>
      </c>
      <c r="W1252" s="5">
        <v>43349</v>
      </c>
      <c r="X1252" s="1">
        <v>1795000</v>
      </c>
      <c r="Y1252" s="1">
        <v>1795000</v>
      </c>
      <c r="AA1252" s="1">
        <v>1685000</v>
      </c>
      <c r="AB1252" s="1" t="s">
        <v>209</v>
      </c>
      <c r="AC1252" s="5">
        <v>43641</v>
      </c>
      <c r="AF1252" s="1">
        <v>10026</v>
      </c>
      <c r="AI1252" s="1" t="s">
        <v>1074</v>
      </c>
      <c r="AJ1252" s="1">
        <v>1920</v>
      </c>
      <c r="AK1252" s="1" t="s">
        <v>1075</v>
      </c>
      <c r="AL1252" s="1">
        <v>29</v>
      </c>
    </row>
    <row r="1253" spans="1:38" x14ac:dyDescent="0.2">
      <c r="A1253" s="2" t="str">
        <f>HYPERLINK("https://www.compass.com/listing/1890-adam-clayton-powell-jr-boulevard-unit-2e-manhattan-ny-10026/29429241808507041/","1890 Adam Clayton Powell Jr Blvd, Unit 2E")</f>
        <v>1890 Adam Clayton Powell Jr Blvd, Unit 2E</v>
      </c>
      <c r="B1253" s="2" t="str">
        <f t="shared" si="177"/>
        <v>The Strathmore</v>
      </c>
      <c r="C1253" s="1" t="s">
        <v>60</v>
      </c>
      <c r="D1253" s="1" t="s">
        <v>41</v>
      </c>
      <c r="E1253" s="3">
        <v>1139000</v>
      </c>
      <c r="F1253" s="1">
        <v>676.76767676767599</v>
      </c>
      <c r="G1253" s="1">
        <v>5</v>
      </c>
      <c r="H1253" s="1">
        <v>3</v>
      </c>
      <c r="I1253" s="1">
        <v>2</v>
      </c>
      <c r="J1253" s="1">
        <v>2</v>
      </c>
      <c r="K1253" s="1">
        <v>2</v>
      </c>
      <c r="M1253" s="4">
        <v>1683</v>
      </c>
      <c r="N1253" s="1">
        <v>975.55</v>
      </c>
      <c r="O1253" s="1">
        <v>1294.79</v>
      </c>
      <c r="P1253" s="1">
        <v>319.25</v>
      </c>
      <c r="Q1253" s="1" t="s">
        <v>42</v>
      </c>
      <c r="S1253" s="1" t="s">
        <v>42</v>
      </c>
      <c r="T1253" s="1" t="s">
        <v>153</v>
      </c>
      <c r="U1253" s="1">
        <v>151</v>
      </c>
      <c r="V1253" s="5">
        <v>43634</v>
      </c>
      <c r="W1253" s="5">
        <v>41464</v>
      </c>
      <c r="X1253" s="1">
        <v>1139000</v>
      </c>
      <c r="Y1253" s="1">
        <v>1139000</v>
      </c>
      <c r="Z1253" s="5">
        <v>41615</v>
      </c>
      <c r="AA1253" s="1">
        <v>1139000</v>
      </c>
      <c r="AB1253" s="1" t="s">
        <v>1076</v>
      </c>
      <c r="AC1253" s="5">
        <v>41774</v>
      </c>
      <c r="AF1253" s="1">
        <v>10026</v>
      </c>
      <c r="AI1253" s="1" t="s">
        <v>119</v>
      </c>
      <c r="AJ1253" s="1">
        <v>1920</v>
      </c>
      <c r="AK1253" s="1" t="s">
        <v>140</v>
      </c>
      <c r="AL1253" s="1">
        <v>29</v>
      </c>
    </row>
    <row r="1254" spans="1:38" x14ac:dyDescent="0.2">
      <c r="A1254" s="2" t="str">
        <f>HYPERLINK("https://www.compass.com/listing/1890-adam-clayton-powell-jr-boulevard-unit-4b-manhattan-ny-10026/29429244291535057/","1890 Adam Clayton Powell Jr Blvd, Unit 4B")</f>
        <v>1890 Adam Clayton Powell Jr Blvd, Unit 4B</v>
      </c>
      <c r="B1254" s="2" t="str">
        <f t="shared" si="177"/>
        <v>The Strathmore</v>
      </c>
      <c r="C1254" s="1" t="s">
        <v>60</v>
      </c>
      <c r="D1254" s="1" t="s">
        <v>41</v>
      </c>
      <c r="E1254" s="3">
        <v>1191478</v>
      </c>
      <c r="F1254" s="1">
        <v>626.43427970557298</v>
      </c>
      <c r="G1254" s="1">
        <v>5</v>
      </c>
      <c r="H1254" s="1">
        <v>3</v>
      </c>
      <c r="I1254" s="1">
        <v>2</v>
      </c>
      <c r="J1254" s="1">
        <v>2</v>
      </c>
      <c r="K1254" s="1">
        <v>2</v>
      </c>
      <c r="M1254" s="4">
        <v>1902</v>
      </c>
      <c r="N1254" s="1">
        <v>1102.49</v>
      </c>
      <c r="O1254" s="1">
        <v>1463.27</v>
      </c>
      <c r="P1254" s="1">
        <v>360.75</v>
      </c>
      <c r="Q1254" s="1" t="s">
        <v>42</v>
      </c>
      <c r="S1254" s="1" t="s">
        <v>42</v>
      </c>
      <c r="T1254" s="1" t="s">
        <v>153</v>
      </c>
      <c r="U1254" s="1">
        <v>27</v>
      </c>
      <c r="V1254" s="5">
        <v>43642</v>
      </c>
      <c r="W1254" s="5">
        <v>41411</v>
      </c>
      <c r="X1254" s="1">
        <v>1170000</v>
      </c>
      <c r="Y1254" s="1">
        <v>1200000</v>
      </c>
      <c r="Z1254" s="5">
        <v>41464</v>
      </c>
      <c r="AA1254" s="1">
        <v>1191478</v>
      </c>
      <c r="AB1254" s="1" t="s">
        <v>1077</v>
      </c>
      <c r="AC1254" s="5">
        <v>41795</v>
      </c>
      <c r="AF1254" s="1">
        <v>10026</v>
      </c>
      <c r="AI1254" s="1" t="s">
        <v>66</v>
      </c>
      <c r="AJ1254" s="1">
        <v>1920</v>
      </c>
      <c r="AL1254" s="1">
        <v>29</v>
      </c>
    </row>
    <row r="1255" spans="1:38" x14ac:dyDescent="0.2">
      <c r="A1255" s="2" t="str">
        <f>HYPERLINK("https://www.compass.com/listing/1890-adam-clayton-powell-jr-boulevard-unit-4d-manhattan-ny-10026/29429245138730881/","1890 Adam Clayton Powell Jr Blvd, Unit 4D")</f>
        <v>1890 Adam Clayton Powell Jr Blvd, Unit 4D</v>
      </c>
      <c r="B1255" s="2" t="str">
        <f t="shared" si="177"/>
        <v>The Strathmore</v>
      </c>
      <c r="C1255" s="1" t="s">
        <v>60</v>
      </c>
      <c r="D1255" s="1" t="s">
        <v>41</v>
      </c>
      <c r="E1255" s="3">
        <v>999000</v>
      </c>
      <c r="F1255" s="1">
        <v>745.52238805970103</v>
      </c>
      <c r="G1255" s="1">
        <v>5</v>
      </c>
      <c r="H1255" s="1">
        <v>3</v>
      </c>
      <c r="I1255" s="1">
        <v>2</v>
      </c>
      <c r="J1255" s="1">
        <v>2</v>
      </c>
      <c r="K1255" s="1">
        <v>2</v>
      </c>
      <c r="M1255" s="4">
        <v>1340</v>
      </c>
      <c r="N1255" s="1">
        <v>776.73</v>
      </c>
      <c r="O1255" s="1">
        <v>930.91</v>
      </c>
      <c r="P1255" s="1">
        <v>154.166666666666</v>
      </c>
      <c r="Q1255" s="1" t="s">
        <v>42</v>
      </c>
      <c r="S1255" s="1" t="s">
        <v>42</v>
      </c>
      <c r="T1255" s="1" t="s">
        <v>153</v>
      </c>
      <c r="U1255" s="1">
        <v>48</v>
      </c>
      <c r="V1255" s="5">
        <v>43634</v>
      </c>
      <c r="W1255" s="5">
        <v>41554</v>
      </c>
      <c r="X1255" s="1">
        <v>999000</v>
      </c>
      <c r="Y1255" s="1">
        <v>999000</v>
      </c>
      <c r="Z1255" s="5">
        <v>41602</v>
      </c>
      <c r="AA1255" s="1">
        <v>999000</v>
      </c>
      <c r="AB1255" s="1" t="s">
        <v>1078</v>
      </c>
      <c r="AC1255" s="5">
        <v>41838</v>
      </c>
      <c r="AF1255" s="1">
        <v>10026</v>
      </c>
      <c r="AI1255" s="1" t="s">
        <v>66</v>
      </c>
      <c r="AJ1255" s="1">
        <v>1920</v>
      </c>
      <c r="AL1255" s="1">
        <v>29</v>
      </c>
    </row>
    <row r="1256" spans="1:38" x14ac:dyDescent="0.2">
      <c r="A1256" s="2" t="str">
        <f>HYPERLINK("https://www.compass.com/listing/1890-adam-clayton-powell-jr-boulevard-unit-5d-manhattan-ny-10026/29429246992679937/","1890 Adam Clayton Powell Jr Blvd, Unit 5D")</f>
        <v>1890 Adam Clayton Powell Jr Blvd, Unit 5D</v>
      </c>
      <c r="B1256" s="2" t="str">
        <f t="shared" si="177"/>
        <v>The Strathmore</v>
      </c>
      <c r="C1256" s="1" t="s">
        <v>60</v>
      </c>
      <c r="D1256" s="1" t="s">
        <v>41</v>
      </c>
      <c r="E1256" s="3">
        <v>1400000</v>
      </c>
      <c r="F1256" s="1">
        <v>1044.7761194029799</v>
      </c>
      <c r="G1256" s="1">
        <v>5</v>
      </c>
      <c r="H1256" s="1">
        <v>3</v>
      </c>
      <c r="I1256" s="1">
        <v>2</v>
      </c>
      <c r="J1256" s="1">
        <v>2</v>
      </c>
      <c r="K1256" s="1">
        <v>2</v>
      </c>
      <c r="M1256" s="4">
        <v>1340</v>
      </c>
      <c r="N1256" s="1">
        <v>832.06</v>
      </c>
      <c r="O1256" s="1">
        <v>1135.47</v>
      </c>
      <c r="P1256" s="1">
        <v>303.416666666666</v>
      </c>
      <c r="Q1256" s="1" t="s">
        <v>42</v>
      </c>
      <c r="S1256" s="1" t="s">
        <v>42</v>
      </c>
      <c r="T1256" s="1" t="s">
        <v>153</v>
      </c>
      <c r="U1256" s="1">
        <v>41</v>
      </c>
      <c r="V1256" s="5">
        <v>43631</v>
      </c>
      <c r="W1256" s="5">
        <v>42690</v>
      </c>
      <c r="X1256" s="1">
        <v>1325000</v>
      </c>
      <c r="Y1256" s="1">
        <v>1325000</v>
      </c>
      <c r="Z1256" s="5">
        <v>42731</v>
      </c>
      <c r="AA1256" s="1">
        <v>1400000</v>
      </c>
      <c r="AB1256" s="1" t="s">
        <v>1079</v>
      </c>
      <c r="AC1256" s="5">
        <v>42780</v>
      </c>
      <c r="AF1256" s="1">
        <v>10026</v>
      </c>
      <c r="AI1256" s="1" t="s">
        <v>119</v>
      </c>
      <c r="AJ1256" s="1">
        <v>1920</v>
      </c>
      <c r="AK1256" s="1" t="s">
        <v>140</v>
      </c>
      <c r="AL1256" s="1">
        <v>29</v>
      </c>
    </row>
    <row r="1257" spans="1:38" x14ac:dyDescent="0.2">
      <c r="A1257" s="2" t="str">
        <f>HYPERLINK("https://www.compass.com/listing/1890-adam-clayton-powell-jr-boulevard-unit-5e-manhattan-ny-10026/29429247781196065/","1890 Adam Clayton Powell Jr Blvd, Unit 5E")</f>
        <v>1890 Adam Clayton Powell Jr Blvd, Unit 5E</v>
      </c>
      <c r="B1257" s="2" t="str">
        <f t="shared" si="177"/>
        <v>The Strathmore</v>
      </c>
      <c r="C1257" s="1" t="s">
        <v>60</v>
      </c>
      <c r="D1257" s="1" t="s">
        <v>41</v>
      </c>
      <c r="E1257" s="3">
        <v>1597000</v>
      </c>
      <c r="F1257" s="1">
        <v>948.90077243018402</v>
      </c>
      <c r="G1257" s="1">
        <v>5</v>
      </c>
      <c r="H1257" s="1">
        <v>3</v>
      </c>
      <c r="I1257" s="1">
        <v>2</v>
      </c>
      <c r="J1257" s="1">
        <v>2</v>
      </c>
      <c r="K1257" s="1">
        <v>2</v>
      </c>
      <c r="M1257" s="4">
        <v>1683</v>
      </c>
      <c r="N1257" s="1">
        <v>1045</v>
      </c>
      <c r="O1257" s="1">
        <v>1425</v>
      </c>
      <c r="P1257" s="1">
        <v>380</v>
      </c>
      <c r="Q1257" s="1" t="s">
        <v>42</v>
      </c>
      <c r="S1257" s="1" t="s">
        <v>42</v>
      </c>
      <c r="T1257" s="1" t="s">
        <v>153</v>
      </c>
      <c r="U1257" s="1">
        <v>34</v>
      </c>
      <c r="V1257" s="5">
        <v>43675</v>
      </c>
      <c r="W1257" s="5">
        <v>42438</v>
      </c>
      <c r="X1257" s="1">
        <v>1479000</v>
      </c>
      <c r="Y1257" s="1">
        <v>1579000</v>
      </c>
      <c r="Z1257" s="5">
        <v>42472</v>
      </c>
      <c r="AA1257" s="1">
        <v>1597000</v>
      </c>
      <c r="AB1257" s="1" t="s">
        <v>1080</v>
      </c>
      <c r="AC1257" s="5">
        <v>42563</v>
      </c>
      <c r="AF1257" s="1">
        <v>10026</v>
      </c>
      <c r="AI1257" s="1" t="s">
        <v>119</v>
      </c>
      <c r="AJ1257" s="1">
        <v>1920</v>
      </c>
      <c r="AL1257" s="1">
        <v>29</v>
      </c>
    </row>
    <row r="1258" spans="1:38" x14ac:dyDescent="0.2">
      <c r="A1258" s="2" t="str">
        <f>HYPERLINK("https://www.compass.com/listing/1890-adam-clayton-powell-jr-boulevard-unit-5c-manhattan-ny-10026/29429246615179521/","1890 Adam Clayton Powell Jr Blvd, Unit 5C")</f>
        <v>1890 Adam Clayton Powell Jr Blvd, Unit 5C</v>
      </c>
      <c r="B1258" s="2" t="str">
        <f t="shared" si="177"/>
        <v>The Strathmore</v>
      </c>
      <c r="C1258" s="1" t="s">
        <v>60</v>
      </c>
      <c r="D1258" s="1" t="s">
        <v>41</v>
      </c>
      <c r="E1258" s="3">
        <v>819000</v>
      </c>
      <c r="F1258" s="1">
        <v>739.83739837398298</v>
      </c>
      <c r="G1258" s="1">
        <v>4</v>
      </c>
      <c r="H1258" s="1">
        <v>2</v>
      </c>
      <c r="I1258" s="1">
        <v>2</v>
      </c>
      <c r="J1258" s="1">
        <v>2</v>
      </c>
      <c r="K1258" s="1">
        <v>2</v>
      </c>
      <c r="M1258" s="4">
        <v>1107</v>
      </c>
      <c r="N1258" s="1">
        <v>641.66999999999996</v>
      </c>
      <c r="O1258" s="1">
        <v>851.65</v>
      </c>
      <c r="P1258" s="1">
        <v>210</v>
      </c>
      <c r="Q1258" s="1" t="s">
        <v>42</v>
      </c>
      <c r="S1258" s="1" t="s">
        <v>42</v>
      </c>
      <c r="T1258" s="1" t="s">
        <v>153</v>
      </c>
      <c r="U1258" s="1">
        <v>10</v>
      </c>
      <c r="V1258" s="5">
        <v>43634</v>
      </c>
      <c r="W1258" s="5">
        <v>41765</v>
      </c>
      <c r="Y1258" s="1">
        <v>829000</v>
      </c>
      <c r="Z1258" s="5">
        <v>41625</v>
      </c>
      <c r="AA1258" s="1">
        <v>819000</v>
      </c>
      <c r="AB1258" s="1" t="s">
        <v>1081</v>
      </c>
      <c r="AC1258" s="5">
        <v>41775</v>
      </c>
      <c r="AF1258" s="1">
        <v>10026</v>
      </c>
      <c r="AJ1258" s="1">
        <v>1920</v>
      </c>
      <c r="AL1258" s="1">
        <v>29</v>
      </c>
    </row>
    <row r="1259" spans="1:38" x14ac:dyDescent="0.2">
      <c r="A1259" s="2" t="str">
        <f>HYPERLINK("https://www.compass.com/listing/1890-adam-clayton-powell-jr-boulevard-unit-2e-manhattan-ny-10026/29429241816895665/","1890 Adam Clayton Powell Jr Blvd, Unit 2E")</f>
        <v>1890 Adam Clayton Powell Jr Blvd, Unit 2E</v>
      </c>
      <c r="B1259" s="2" t="str">
        <f t="shared" si="177"/>
        <v>The Strathmore</v>
      </c>
      <c r="C1259" s="1" t="s">
        <v>60</v>
      </c>
      <c r="D1259" s="1" t="s">
        <v>41</v>
      </c>
      <c r="E1259" s="3">
        <v>1600000</v>
      </c>
      <c r="F1259" s="1">
        <v>950.68330362448</v>
      </c>
      <c r="G1259" s="1">
        <v>5</v>
      </c>
      <c r="H1259" s="1">
        <v>3</v>
      </c>
      <c r="I1259" s="1">
        <v>2</v>
      </c>
      <c r="J1259" s="1">
        <v>2</v>
      </c>
      <c r="K1259" s="1">
        <v>2</v>
      </c>
      <c r="M1259" s="4">
        <v>1683</v>
      </c>
      <c r="N1259" s="1">
        <v>1081.6099999999999</v>
      </c>
      <c r="O1259" s="1">
        <v>1491.3799999999901</v>
      </c>
      <c r="P1259" s="1">
        <v>409.75</v>
      </c>
      <c r="Q1259" s="1" t="s">
        <v>42</v>
      </c>
      <c r="S1259" s="1" t="s">
        <v>42</v>
      </c>
      <c r="T1259" s="1" t="s">
        <v>153</v>
      </c>
      <c r="U1259" s="1">
        <v>101</v>
      </c>
      <c r="V1259" s="5">
        <v>43689</v>
      </c>
      <c r="W1259" s="5">
        <v>42815</v>
      </c>
      <c r="X1259" s="1">
        <v>1775000</v>
      </c>
      <c r="Y1259" s="1">
        <v>1695000</v>
      </c>
      <c r="Z1259" s="5">
        <v>42916</v>
      </c>
      <c r="AA1259" s="1">
        <v>1600000</v>
      </c>
      <c r="AB1259" s="1" t="s">
        <v>1082</v>
      </c>
      <c r="AC1259" s="5">
        <v>43084</v>
      </c>
      <c r="AF1259" s="1">
        <v>10026</v>
      </c>
      <c r="AI1259" s="1" t="s">
        <v>1043</v>
      </c>
      <c r="AJ1259" s="1">
        <v>1920</v>
      </c>
      <c r="AK1259" s="1" t="s">
        <v>140</v>
      </c>
      <c r="AL1259" s="1">
        <v>29</v>
      </c>
    </row>
    <row r="1260" spans="1:38" x14ac:dyDescent="0.2">
      <c r="A1260" s="2" t="str">
        <f>HYPERLINK("https://www.compass.com/listing/1890-adam-clayton-powell-jr-boulevard-unit-5b-manhattan-ny-10026/192570750153097073/","1890 Adam Clayton Powell Jr Blvd, Unit 5B")</f>
        <v>1890 Adam Clayton Powell Jr Blvd, Unit 5B</v>
      </c>
      <c r="B1260" s="2" t="str">
        <f t="shared" si="177"/>
        <v>The Strathmore</v>
      </c>
      <c r="C1260" s="1" t="s">
        <v>60</v>
      </c>
      <c r="D1260" s="1" t="s">
        <v>41</v>
      </c>
      <c r="E1260" s="3">
        <v>952000</v>
      </c>
      <c r="F1260" s="1">
        <v>487.704918032786</v>
      </c>
      <c r="G1260" s="1">
        <v>5</v>
      </c>
      <c r="H1260" s="1">
        <v>3</v>
      </c>
      <c r="I1260" s="1">
        <v>2</v>
      </c>
      <c r="J1260" s="1">
        <v>2</v>
      </c>
      <c r="K1260" s="1">
        <v>2</v>
      </c>
      <c r="M1260" s="4">
        <v>1952</v>
      </c>
      <c r="N1260" s="1">
        <v>1</v>
      </c>
      <c r="O1260" s="1">
        <v>2</v>
      </c>
      <c r="P1260" s="1">
        <v>1</v>
      </c>
      <c r="Q1260" s="1" t="s">
        <v>42</v>
      </c>
      <c r="S1260" s="1" t="s">
        <v>42</v>
      </c>
      <c r="T1260" s="1" t="s">
        <v>153</v>
      </c>
      <c r="U1260" s="1">
        <v>12</v>
      </c>
      <c r="V1260" s="5">
        <v>43642</v>
      </c>
      <c r="W1260" s="5">
        <v>41464</v>
      </c>
      <c r="X1260" s="1">
        <v>1279000</v>
      </c>
      <c r="Y1260" s="1">
        <v>1279000</v>
      </c>
      <c r="Z1260" s="5">
        <v>41476</v>
      </c>
      <c r="AA1260" s="1">
        <v>952000</v>
      </c>
      <c r="AB1260" s="1" t="s">
        <v>177</v>
      </c>
      <c r="AC1260" s="5">
        <v>42124</v>
      </c>
      <c r="AF1260" s="1">
        <v>10026</v>
      </c>
      <c r="AI1260" s="1" t="s">
        <v>66</v>
      </c>
      <c r="AJ1260" s="1">
        <v>1920</v>
      </c>
      <c r="AL1260" s="1">
        <v>29</v>
      </c>
    </row>
    <row r="1261" spans="1:38" x14ac:dyDescent="0.2">
      <c r="A1261" s="2" t="str">
        <f>HYPERLINK("https://www.compass.com/listing/1890-adam-clayton-powell-jr-boulevard-unit-3a-manhattan-ny-10026/29429242664091457/","1890 Adam Clayton Powell Jr Blvd, Unit 3A")</f>
        <v>1890 Adam Clayton Powell Jr Blvd, Unit 3A</v>
      </c>
      <c r="B1261" s="2" t="str">
        <f t="shared" si="177"/>
        <v>The Strathmore</v>
      </c>
      <c r="C1261" s="1" t="s">
        <v>60</v>
      </c>
      <c r="D1261" s="1" t="s">
        <v>41</v>
      </c>
      <c r="E1261" s="3">
        <v>956137</v>
      </c>
      <c r="F1261" s="1">
        <v>736.05619707467201</v>
      </c>
      <c r="G1261" s="1">
        <v>5</v>
      </c>
      <c r="H1261" s="1">
        <v>3</v>
      </c>
      <c r="I1261" s="1">
        <v>2</v>
      </c>
      <c r="J1261" s="1">
        <v>2</v>
      </c>
      <c r="K1261" s="1">
        <v>2</v>
      </c>
      <c r="M1261" s="4">
        <v>1299</v>
      </c>
      <c r="N1261" s="1">
        <v>785.42</v>
      </c>
      <c r="O1261" s="1">
        <v>1042.44999999999</v>
      </c>
      <c r="P1261" s="1">
        <v>257</v>
      </c>
      <c r="Q1261" s="1" t="s">
        <v>42</v>
      </c>
      <c r="S1261" s="1" t="s">
        <v>42</v>
      </c>
      <c r="T1261" s="1" t="s">
        <v>153</v>
      </c>
      <c r="U1261" s="1">
        <v>228</v>
      </c>
      <c r="V1261" s="5">
        <v>43634</v>
      </c>
      <c r="W1261" s="5">
        <v>41464</v>
      </c>
      <c r="X1261" s="1">
        <v>919000</v>
      </c>
      <c r="Y1261" s="1">
        <v>939000</v>
      </c>
      <c r="Z1261" s="5">
        <v>41692</v>
      </c>
      <c r="AA1261" s="1">
        <v>956137</v>
      </c>
      <c r="AB1261" s="1" t="s">
        <v>1083</v>
      </c>
      <c r="AC1261" s="5">
        <v>41809</v>
      </c>
      <c r="AF1261" s="1">
        <v>10026</v>
      </c>
      <c r="AI1261" s="1" t="s">
        <v>66</v>
      </c>
      <c r="AJ1261" s="1">
        <v>1920</v>
      </c>
      <c r="AL1261" s="1">
        <v>29</v>
      </c>
    </row>
    <row r="1262" spans="1:38" x14ac:dyDescent="0.2">
      <c r="A1262" s="2" t="str">
        <f>HYPERLINK("https://www.compass.com/listing/1890-adam-clayton-powell-jr-boulevard-unit-5a-manhattan-ny-10026/29429245876995025/","1890 Adam Clayton Powell Jr Blvd, Unit 5A")</f>
        <v>1890 Adam Clayton Powell Jr Blvd, Unit 5A</v>
      </c>
      <c r="B1262" s="2" t="str">
        <f t="shared" si="177"/>
        <v>The Strathmore</v>
      </c>
      <c r="C1262" s="1" t="s">
        <v>60</v>
      </c>
      <c r="D1262" s="1" t="s">
        <v>41</v>
      </c>
      <c r="E1262" s="3">
        <v>923349</v>
      </c>
      <c r="F1262" s="1">
        <v>710.81524249422603</v>
      </c>
      <c r="G1262" s="1">
        <v>5</v>
      </c>
      <c r="H1262" s="1">
        <v>3</v>
      </c>
      <c r="I1262" s="1">
        <v>2</v>
      </c>
      <c r="J1262" s="1">
        <v>2</v>
      </c>
      <c r="K1262" s="1">
        <v>2</v>
      </c>
      <c r="M1262" s="4">
        <v>1299</v>
      </c>
      <c r="N1262" s="1">
        <v>785.42</v>
      </c>
      <c r="O1262" s="1">
        <v>1042.44999999999</v>
      </c>
      <c r="P1262" s="1">
        <v>257</v>
      </c>
      <c r="Q1262" s="1" t="s">
        <v>42</v>
      </c>
      <c r="S1262" s="1" t="s">
        <v>42</v>
      </c>
      <c r="T1262" s="1" t="s">
        <v>153</v>
      </c>
      <c r="U1262" s="1">
        <v>93</v>
      </c>
      <c r="V1262" s="5">
        <v>43634</v>
      </c>
      <c r="W1262" s="5">
        <v>41464</v>
      </c>
      <c r="X1262" s="1">
        <v>939000</v>
      </c>
      <c r="Y1262" s="1">
        <v>939000</v>
      </c>
      <c r="Z1262" s="5">
        <v>41557</v>
      </c>
      <c r="AA1262" s="1">
        <v>923349</v>
      </c>
      <c r="AB1262" s="1" t="s">
        <v>1084</v>
      </c>
      <c r="AC1262" s="5">
        <v>41772</v>
      </c>
      <c r="AF1262" s="1">
        <v>10026</v>
      </c>
      <c r="AI1262" s="1" t="s">
        <v>66</v>
      </c>
      <c r="AJ1262" s="1">
        <v>1920</v>
      </c>
      <c r="AL1262" s="1">
        <v>29</v>
      </c>
    </row>
    <row r="1263" spans="1:38" x14ac:dyDescent="0.2">
      <c r="A1263" s="2" t="str">
        <f>HYPERLINK("https://www.compass.com/listing/432-west-52nd-street-unit-7b-manhattan-ny-10019/4852321186434003633/","432 W 52nd St, Unit 7B")</f>
        <v>432 W 52nd St, Unit 7B</v>
      </c>
      <c r="B1263" s="2" t="str">
        <f t="shared" ref="B1263:B1264" si="178">HYPERLINK("https://www.compass.com/building/432-w-52nd-st-manhattan-ny-10019/292847238378489941/","432 W 52nd St")</f>
        <v>432 W 52nd St</v>
      </c>
      <c r="C1263" s="1" t="s">
        <v>67</v>
      </c>
      <c r="D1263" s="1" t="s">
        <v>41</v>
      </c>
      <c r="E1263" s="3">
        <v>763687</v>
      </c>
      <c r="F1263" s="1">
        <v>1704.6584821428501</v>
      </c>
      <c r="G1263" s="1">
        <v>1</v>
      </c>
      <c r="H1263" s="1" t="s">
        <v>94</v>
      </c>
      <c r="I1263" s="1">
        <v>1</v>
      </c>
      <c r="J1263" s="1">
        <v>1</v>
      </c>
      <c r="M1263" s="1">
        <v>448</v>
      </c>
      <c r="N1263" s="1">
        <v>535</v>
      </c>
      <c r="O1263" s="1">
        <v>1138</v>
      </c>
      <c r="P1263" s="1">
        <v>603</v>
      </c>
      <c r="Q1263" s="1" t="s">
        <v>42</v>
      </c>
      <c r="S1263" s="1" t="s">
        <v>42</v>
      </c>
      <c r="T1263" s="1" t="s">
        <v>153</v>
      </c>
      <c r="U1263" s="1">
        <v>25</v>
      </c>
      <c r="V1263" s="5">
        <v>43651</v>
      </c>
      <c r="W1263" s="5">
        <v>42171</v>
      </c>
      <c r="X1263" s="1">
        <v>750000</v>
      </c>
      <c r="Y1263" s="1">
        <v>750000</v>
      </c>
      <c r="Z1263" s="5">
        <v>42196</v>
      </c>
      <c r="AA1263" s="1">
        <v>763687</v>
      </c>
      <c r="AB1263" s="1" t="s">
        <v>1085</v>
      </c>
      <c r="AC1263" s="5">
        <v>42237</v>
      </c>
      <c r="AF1263" s="1">
        <v>10019</v>
      </c>
      <c r="AI1263" s="1" t="s">
        <v>55</v>
      </c>
      <c r="AJ1263" s="1">
        <v>1950</v>
      </c>
      <c r="AK1263" s="1" t="s">
        <v>121</v>
      </c>
      <c r="AL1263" s="1">
        <v>55</v>
      </c>
    </row>
    <row r="1264" spans="1:38" x14ac:dyDescent="0.2">
      <c r="A1264" s="2" t="str">
        <f>HYPERLINK("https://www.compass.com/listing/432-west-52nd-street-unit-6g-manhattan-ny-10019/4852270488304498209/","432 W 52nd St, Unit 6G")</f>
        <v>432 W 52nd St, Unit 6G</v>
      </c>
      <c r="B1264" s="2" t="str">
        <f t="shared" si="178"/>
        <v>432 W 52nd St</v>
      </c>
      <c r="C1264" s="1" t="s">
        <v>67</v>
      </c>
      <c r="D1264" s="1" t="s">
        <v>41</v>
      </c>
      <c r="E1264" s="3">
        <v>1025000</v>
      </c>
      <c r="F1264" s="1">
        <v>1601.5625</v>
      </c>
      <c r="G1264" s="1">
        <v>3</v>
      </c>
      <c r="H1264" s="1">
        <v>1</v>
      </c>
      <c r="I1264" s="1">
        <v>1</v>
      </c>
      <c r="J1264" s="1">
        <v>1</v>
      </c>
      <c r="K1264" s="1">
        <v>1</v>
      </c>
      <c r="M1264" s="1">
        <v>640</v>
      </c>
      <c r="N1264" s="1">
        <v>764</v>
      </c>
      <c r="O1264" s="1">
        <v>1634</v>
      </c>
      <c r="P1264" s="1">
        <v>870</v>
      </c>
      <c r="Q1264" s="1" t="s">
        <v>42</v>
      </c>
      <c r="S1264" s="1" t="s">
        <v>42</v>
      </c>
      <c r="T1264" s="1" t="s">
        <v>153</v>
      </c>
      <c r="U1264" s="1">
        <v>52</v>
      </c>
      <c r="V1264" s="5">
        <v>43664</v>
      </c>
      <c r="W1264" s="5">
        <v>42340</v>
      </c>
      <c r="X1264" s="1">
        <v>1055000</v>
      </c>
      <c r="Y1264" s="1">
        <v>1055000</v>
      </c>
      <c r="Z1264" s="5">
        <v>42392</v>
      </c>
      <c r="AA1264" s="1">
        <v>1025000</v>
      </c>
      <c r="AB1264" s="1" t="s">
        <v>1086</v>
      </c>
      <c r="AC1264" s="5">
        <v>42465</v>
      </c>
      <c r="AF1264" s="1">
        <v>10019</v>
      </c>
      <c r="AI1264" s="1" t="s">
        <v>55</v>
      </c>
      <c r="AJ1264" s="1">
        <v>1950</v>
      </c>
      <c r="AK1264" s="1" t="s">
        <v>69</v>
      </c>
      <c r="AL1264" s="1">
        <v>55</v>
      </c>
    </row>
    <row r="1265" spans="1:38" x14ac:dyDescent="0.2">
      <c r="A1265" s="2" t="str">
        <f>HYPERLINK("https://www.compass.com/listing/136-west-123rd-street-unit-3-manhattan-ny-10027/29432192761358977/","136 W 123rd St, Unit 3")</f>
        <v>136 W 123rd St, Unit 3</v>
      </c>
      <c r="B1265" s="2" t="str">
        <f>HYPERLINK("https://www.compass.com/building/136-w-123rd-st-manhattan-ny-10027/281978519993546549/","136 W 123rd St")</f>
        <v>136 W 123rd St</v>
      </c>
      <c r="C1265" s="1" t="s">
        <v>60</v>
      </c>
      <c r="D1265" s="1" t="s">
        <v>41</v>
      </c>
      <c r="E1265" s="3">
        <v>1132803</v>
      </c>
      <c r="F1265" s="1">
        <v>756.71543086172301</v>
      </c>
      <c r="G1265" s="1">
        <v>8</v>
      </c>
      <c r="H1265" s="1">
        <v>3</v>
      </c>
      <c r="I1265" s="1">
        <v>2</v>
      </c>
      <c r="J1265" s="1">
        <v>2</v>
      </c>
      <c r="M1265" s="4">
        <v>1497</v>
      </c>
      <c r="N1265" s="1">
        <v>841</v>
      </c>
      <c r="O1265" s="1">
        <v>1262</v>
      </c>
      <c r="P1265" s="1">
        <v>421</v>
      </c>
      <c r="Q1265" s="1" t="s">
        <v>42</v>
      </c>
      <c r="S1265" s="1" t="s">
        <v>42</v>
      </c>
      <c r="T1265" s="1" t="s">
        <v>153</v>
      </c>
      <c r="U1265" s="1">
        <v>136</v>
      </c>
      <c r="V1265" s="5">
        <v>43630</v>
      </c>
      <c r="W1265" s="5">
        <v>41668</v>
      </c>
      <c r="X1265" s="1">
        <v>1290000</v>
      </c>
      <c r="Y1265" s="1">
        <v>1190000</v>
      </c>
      <c r="Z1265" s="5">
        <v>41804</v>
      </c>
      <c r="AA1265" s="1">
        <v>1132803</v>
      </c>
      <c r="AB1265" s="1" t="s">
        <v>1087</v>
      </c>
      <c r="AC1265" s="5">
        <v>41817</v>
      </c>
      <c r="AF1265" s="1">
        <v>10027</v>
      </c>
      <c r="AI1265" s="1" t="s">
        <v>134</v>
      </c>
      <c r="AJ1265" s="1">
        <v>2014</v>
      </c>
      <c r="AL1265" s="1">
        <v>4</v>
      </c>
    </row>
    <row r="1266" spans="1:38" x14ac:dyDescent="0.2">
      <c r="A1266" s="2" t="str">
        <f>HYPERLINK("https://www.compass.com/listing/1890-adam-clayton-powell-jr-boulevard-unit-1a-manhattan-ny-10026/29429239887528801/","1890 Adam Clayton Powell Jr Blvd, Unit 1A")</f>
        <v>1890 Adam Clayton Powell Jr Blvd, Unit 1A</v>
      </c>
      <c r="B1266" s="2" t="str">
        <f>HYPERLINK("https://www.compass.com/building/the-strathmore-manhattan-ny/815297250581742565/","The Strathmore")</f>
        <v>The Strathmore</v>
      </c>
      <c r="C1266" s="1" t="s">
        <v>60</v>
      </c>
      <c r="D1266" s="1" t="s">
        <v>41</v>
      </c>
      <c r="E1266" s="3">
        <v>641498</v>
      </c>
      <c r="F1266" s="1">
        <v>566.19373345101496</v>
      </c>
      <c r="G1266" s="1">
        <v>4</v>
      </c>
      <c r="H1266" s="1">
        <v>2</v>
      </c>
      <c r="I1266" s="1">
        <v>2</v>
      </c>
      <c r="J1266" s="1">
        <v>2</v>
      </c>
      <c r="K1266" s="1">
        <v>2</v>
      </c>
      <c r="M1266" s="4">
        <v>1133</v>
      </c>
      <c r="N1266" s="1">
        <v>656.74</v>
      </c>
      <c r="O1266" s="1">
        <v>871.66</v>
      </c>
      <c r="P1266" s="1">
        <v>214.916666666666</v>
      </c>
      <c r="Q1266" s="1" t="s">
        <v>42</v>
      </c>
      <c r="S1266" s="1" t="s">
        <v>42</v>
      </c>
      <c r="T1266" s="1" t="s">
        <v>153</v>
      </c>
      <c r="U1266" s="1">
        <v>77</v>
      </c>
      <c r="V1266" s="5">
        <v>42259</v>
      </c>
      <c r="W1266" s="5">
        <v>41410</v>
      </c>
      <c r="Y1266" s="1">
        <v>659000</v>
      </c>
      <c r="Z1266" s="5">
        <v>41487</v>
      </c>
      <c r="AA1266" s="1">
        <v>641497.5</v>
      </c>
      <c r="AB1266" s="1" t="s">
        <v>1088</v>
      </c>
      <c r="AC1266" s="5">
        <v>41802</v>
      </c>
      <c r="AF1266" s="1">
        <v>10026</v>
      </c>
      <c r="AI1266" s="1" t="s">
        <v>66</v>
      </c>
      <c r="AJ1266" s="1">
        <v>1920</v>
      </c>
      <c r="AL1266" s="1">
        <v>29</v>
      </c>
    </row>
    <row r="1267" spans="1:38" x14ac:dyDescent="0.2">
      <c r="A1267" s="2" t="str">
        <f>HYPERLINK("https://www.compass.com/listing/432-west-52nd-street-unit-6e-manhattan-ny-10019/29389247584717953/","432 W 52nd St, Unit 6E")</f>
        <v>432 W 52nd St, Unit 6E</v>
      </c>
      <c r="B1267" s="2" t="str">
        <f t="shared" ref="B1267:B1274" si="179">HYPERLINK("https://www.compass.com/building/432-w-52nd-st-manhattan-ny-10019/292847238378489941/","432 W 52nd St")</f>
        <v>432 W 52nd St</v>
      </c>
      <c r="C1267" s="1" t="s">
        <v>67</v>
      </c>
      <c r="D1267" s="1" t="s">
        <v>41</v>
      </c>
      <c r="E1267" s="3">
        <v>715000</v>
      </c>
      <c r="G1267" s="1">
        <v>2</v>
      </c>
      <c r="H1267" s="1" t="s">
        <v>94</v>
      </c>
      <c r="I1267" s="1">
        <v>1</v>
      </c>
      <c r="J1267" s="1">
        <v>1</v>
      </c>
      <c r="N1267" s="1">
        <v>520</v>
      </c>
      <c r="O1267" s="1">
        <v>1149</v>
      </c>
      <c r="P1267" s="1">
        <v>629</v>
      </c>
      <c r="Q1267" s="1" t="s">
        <v>42</v>
      </c>
      <c r="S1267" s="1" t="s">
        <v>42</v>
      </c>
      <c r="T1267" s="1" t="s">
        <v>153</v>
      </c>
      <c r="U1267" s="1">
        <v>122</v>
      </c>
      <c r="V1267" s="5">
        <v>43694</v>
      </c>
      <c r="W1267" s="5">
        <v>43011</v>
      </c>
      <c r="X1267" s="1">
        <v>725000</v>
      </c>
      <c r="Y1267" s="1">
        <v>720000</v>
      </c>
      <c r="Z1267" s="5">
        <v>43133</v>
      </c>
      <c r="AA1267" s="1">
        <v>715000</v>
      </c>
      <c r="AB1267" s="1" t="s">
        <v>1089</v>
      </c>
      <c r="AC1267" s="5">
        <v>43224</v>
      </c>
      <c r="AF1267" s="1">
        <v>10019</v>
      </c>
      <c r="AI1267" s="1" t="s">
        <v>87</v>
      </c>
      <c r="AJ1267" s="1">
        <v>1950</v>
      </c>
      <c r="AK1267" s="1" t="s">
        <v>121</v>
      </c>
      <c r="AL1267" s="1">
        <v>55</v>
      </c>
    </row>
    <row r="1268" spans="1:38" x14ac:dyDescent="0.2">
      <c r="A1268" s="2" t="str">
        <f>HYPERLINK("https://www.compass.com/listing/432-west-52nd-street-unit-7g-manhattan-ny-10019/278792679440097457/","432 W 52nd St, Unit 7G")</f>
        <v>432 W 52nd St, Unit 7G</v>
      </c>
      <c r="B1268" s="2" t="str">
        <f t="shared" si="179"/>
        <v>432 W 52nd St</v>
      </c>
      <c r="C1268" s="1" t="s">
        <v>67</v>
      </c>
      <c r="D1268" s="1" t="s">
        <v>41</v>
      </c>
      <c r="E1268" s="3">
        <v>1065000</v>
      </c>
      <c r="G1268" s="1">
        <v>3</v>
      </c>
      <c r="H1268" s="1">
        <v>1</v>
      </c>
      <c r="I1268" s="1">
        <v>1</v>
      </c>
      <c r="J1268" s="1">
        <v>1</v>
      </c>
      <c r="N1268" s="1">
        <v>764</v>
      </c>
      <c r="O1268" s="1">
        <v>1634</v>
      </c>
      <c r="P1268" s="1">
        <v>870</v>
      </c>
      <c r="Q1268" s="1" t="s">
        <v>42</v>
      </c>
      <c r="S1268" s="1" t="s">
        <v>42</v>
      </c>
      <c r="T1268" s="1" t="s">
        <v>153</v>
      </c>
      <c r="U1268" s="1">
        <v>14</v>
      </c>
      <c r="V1268" s="5">
        <v>41640</v>
      </c>
      <c r="W1268" s="5">
        <v>42592</v>
      </c>
      <c r="X1268" s="1">
        <v>1065000</v>
      </c>
      <c r="Y1268" s="1">
        <v>1065000</v>
      </c>
      <c r="Z1268" s="5">
        <v>42607</v>
      </c>
      <c r="AA1268" s="1">
        <v>1065000</v>
      </c>
      <c r="AB1268" s="1" t="s">
        <v>1090</v>
      </c>
      <c r="AC1268" s="5">
        <v>42627</v>
      </c>
      <c r="AF1268" s="1">
        <v>10019</v>
      </c>
      <c r="AI1268" s="1" t="s">
        <v>55</v>
      </c>
      <c r="AJ1268" s="1">
        <v>1950</v>
      </c>
      <c r="AK1268" s="1" t="s">
        <v>69</v>
      </c>
      <c r="AL1268" s="1">
        <v>55</v>
      </c>
    </row>
    <row r="1269" spans="1:38" x14ac:dyDescent="0.2">
      <c r="A1269" s="2" t="str">
        <f>HYPERLINK("https://www.compass.com/listing/432-west-52nd-street-unit-ph7g-manhattan-ny-10019/70930848039355489/","432 W 52nd St, Unit PH7G")</f>
        <v>432 W 52nd St, Unit PH7G</v>
      </c>
      <c r="B1269" s="2" t="str">
        <f t="shared" si="179"/>
        <v>432 W 52nd St</v>
      </c>
      <c r="C1269" s="1" t="s">
        <v>67</v>
      </c>
      <c r="D1269" s="1" t="s">
        <v>41</v>
      </c>
      <c r="E1269" s="3">
        <v>1065000</v>
      </c>
      <c r="F1269" s="1">
        <v>1664.0625</v>
      </c>
      <c r="G1269" s="1">
        <v>3</v>
      </c>
      <c r="H1269" s="1">
        <v>1</v>
      </c>
      <c r="I1269" s="1">
        <v>1</v>
      </c>
      <c r="J1269" s="1">
        <v>1</v>
      </c>
      <c r="K1269" s="1">
        <v>1</v>
      </c>
      <c r="M1269" s="1">
        <v>640</v>
      </c>
      <c r="N1269" s="1">
        <v>764</v>
      </c>
      <c r="O1269" s="1">
        <v>1634</v>
      </c>
      <c r="P1269" s="1">
        <v>870</v>
      </c>
      <c r="Q1269" s="1" t="s">
        <v>42</v>
      </c>
      <c r="S1269" s="1" t="s">
        <v>42</v>
      </c>
      <c r="T1269" s="1" t="s">
        <v>153</v>
      </c>
      <c r="U1269" s="1">
        <v>214</v>
      </c>
      <c r="V1269" s="5">
        <v>43224</v>
      </c>
      <c r="W1269" s="5">
        <v>42391</v>
      </c>
      <c r="Y1269" s="1">
        <v>1065000</v>
      </c>
      <c r="Z1269" s="5">
        <v>42606</v>
      </c>
      <c r="AA1269" s="1">
        <v>1065000</v>
      </c>
      <c r="AB1269" s="1" t="s">
        <v>177</v>
      </c>
      <c r="AC1269" s="5">
        <v>42628</v>
      </c>
      <c r="AF1269" s="1">
        <v>10019</v>
      </c>
      <c r="AI1269" s="1" t="s">
        <v>55</v>
      </c>
      <c r="AJ1269" s="1">
        <v>1950</v>
      </c>
      <c r="AK1269" s="1" t="s">
        <v>69</v>
      </c>
      <c r="AL1269" s="1">
        <v>55</v>
      </c>
    </row>
    <row r="1270" spans="1:38" x14ac:dyDescent="0.2">
      <c r="A1270" s="2" t="str">
        <f>HYPERLINK("https://www.compass.com/listing/432-west-52nd-street-unit-3c-manhattan-ny-10019/29389238810291169/","432 W 52nd St, Unit 3C")</f>
        <v>432 W 52nd St, Unit 3C</v>
      </c>
      <c r="B1270" s="2" t="str">
        <f t="shared" si="179"/>
        <v>432 W 52nd St</v>
      </c>
      <c r="C1270" s="1" t="s">
        <v>67</v>
      </c>
      <c r="D1270" s="1" t="s">
        <v>41</v>
      </c>
      <c r="E1270" s="3">
        <v>881075</v>
      </c>
      <c r="F1270" s="1">
        <v>1483.29124579124</v>
      </c>
      <c r="G1270" s="1">
        <v>2</v>
      </c>
      <c r="H1270" s="1">
        <v>1</v>
      </c>
      <c r="I1270" s="1">
        <v>1</v>
      </c>
      <c r="J1270" s="1">
        <v>1</v>
      </c>
      <c r="M1270" s="1">
        <v>594</v>
      </c>
      <c r="N1270" s="1">
        <v>709</v>
      </c>
      <c r="O1270" s="1">
        <v>1508</v>
      </c>
      <c r="P1270" s="1">
        <v>799</v>
      </c>
      <c r="Q1270" s="1" t="s">
        <v>42</v>
      </c>
      <c r="S1270" s="1" t="s">
        <v>42</v>
      </c>
      <c r="T1270" s="1" t="s">
        <v>153</v>
      </c>
      <c r="U1270" s="1">
        <v>27</v>
      </c>
      <c r="V1270" s="5">
        <v>43654</v>
      </c>
      <c r="W1270" s="5">
        <v>41927</v>
      </c>
      <c r="X1270" s="1">
        <v>865000</v>
      </c>
      <c r="Y1270" s="1">
        <v>865000</v>
      </c>
      <c r="Z1270" s="5">
        <v>41954</v>
      </c>
      <c r="AA1270" s="1">
        <v>881075</v>
      </c>
      <c r="AB1270" s="1" t="s">
        <v>1091</v>
      </c>
      <c r="AC1270" s="5">
        <v>42087</v>
      </c>
      <c r="AF1270" s="1">
        <v>10019</v>
      </c>
      <c r="AI1270" s="1" t="s">
        <v>55</v>
      </c>
      <c r="AJ1270" s="1">
        <v>1950</v>
      </c>
      <c r="AK1270" s="1" t="s">
        <v>121</v>
      </c>
      <c r="AL1270" s="1">
        <v>55</v>
      </c>
    </row>
    <row r="1271" spans="1:38" x14ac:dyDescent="0.2">
      <c r="A1271" s="2" t="str">
        <f>HYPERLINK("https://www.compass.com/listing/432-west-52nd-street-unit-4c-manhattan-ny-10019/29514260962993585/","432 W 52nd St, Unit 4C")</f>
        <v>432 W 52nd St, Unit 4C</v>
      </c>
      <c r="B1271" s="2" t="str">
        <f t="shared" si="179"/>
        <v>432 W 52nd St</v>
      </c>
      <c r="C1271" s="1" t="s">
        <v>67</v>
      </c>
      <c r="D1271" s="1" t="s">
        <v>41</v>
      </c>
      <c r="E1271" s="3">
        <v>890968</v>
      </c>
      <c r="F1271" s="1">
        <v>1499.94612794612</v>
      </c>
      <c r="G1271" s="1">
        <v>2</v>
      </c>
      <c r="H1271" s="1">
        <v>1</v>
      </c>
      <c r="I1271" s="1">
        <v>1</v>
      </c>
      <c r="J1271" s="1">
        <v>1</v>
      </c>
      <c r="M1271" s="1">
        <v>594</v>
      </c>
      <c r="N1271" s="1">
        <v>709</v>
      </c>
      <c r="O1271" s="1">
        <v>1508</v>
      </c>
      <c r="P1271" s="1">
        <v>799</v>
      </c>
      <c r="Q1271" s="1" t="s">
        <v>42</v>
      </c>
      <c r="S1271" s="1" t="s">
        <v>42</v>
      </c>
      <c r="T1271" s="1" t="s">
        <v>153</v>
      </c>
      <c r="U1271" s="1">
        <v>116</v>
      </c>
      <c r="V1271" s="5">
        <v>43654</v>
      </c>
      <c r="W1271" s="5">
        <v>41954</v>
      </c>
      <c r="X1271" s="1">
        <v>875000</v>
      </c>
      <c r="Y1271" s="1">
        <v>875000</v>
      </c>
      <c r="Z1271" s="5">
        <v>42070</v>
      </c>
      <c r="AA1271" s="1">
        <v>890968</v>
      </c>
      <c r="AB1271" s="1" t="s">
        <v>1092</v>
      </c>
      <c r="AC1271" s="5">
        <v>42115</v>
      </c>
      <c r="AF1271" s="1">
        <v>10019</v>
      </c>
      <c r="AI1271" s="1" t="s">
        <v>55</v>
      </c>
      <c r="AJ1271" s="1">
        <v>1950</v>
      </c>
      <c r="AK1271" s="1" t="s">
        <v>121</v>
      </c>
      <c r="AL1271" s="1">
        <v>55</v>
      </c>
    </row>
    <row r="1272" spans="1:38" x14ac:dyDescent="0.2">
      <c r="A1272" s="2" t="str">
        <f>HYPERLINK("https://www.compass.com/listing/432-west-52nd-street-unit-6c-manhattan-ny-10019/4852270423435387169/","432 W 52nd St, Unit 6C")</f>
        <v>432 W 52nd St, Unit 6C</v>
      </c>
      <c r="B1272" s="2" t="str">
        <f t="shared" si="179"/>
        <v>432 W 52nd St</v>
      </c>
      <c r="C1272" s="1" t="s">
        <v>67</v>
      </c>
      <c r="D1272" s="1" t="s">
        <v>41</v>
      </c>
      <c r="E1272" s="3">
        <v>911333</v>
      </c>
      <c r="F1272" s="1">
        <v>1534.2306397306299</v>
      </c>
      <c r="G1272" s="1">
        <v>2</v>
      </c>
      <c r="H1272" s="1">
        <v>1</v>
      </c>
      <c r="I1272" s="1">
        <v>1</v>
      </c>
      <c r="J1272" s="1">
        <v>1</v>
      </c>
      <c r="M1272" s="1">
        <v>594</v>
      </c>
      <c r="N1272" s="1">
        <v>709</v>
      </c>
      <c r="O1272" s="1">
        <v>1508</v>
      </c>
      <c r="P1272" s="1">
        <v>799</v>
      </c>
      <c r="Q1272" s="1" t="s">
        <v>42</v>
      </c>
      <c r="S1272" s="1" t="s">
        <v>42</v>
      </c>
      <c r="T1272" s="1" t="s">
        <v>153</v>
      </c>
      <c r="U1272" s="1">
        <v>77</v>
      </c>
      <c r="V1272" s="5">
        <v>43651</v>
      </c>
      <c r="W1272" s="5">
        <v>42097</v>
      </c>
      <c r="X1272" s="1">
        <v>895000</v>
      </c>
      <c r="Y1272" s="1">
        <v>895000</v>
      </c>
      <c r="Z1272" s="5">
        <v>42174</v>
      </c>
      <c r="AA1272" s="1">
        <v>911333</v>
      </c>
      <c r="AB1272" s="1" t="s">
        <v>1093</v>
      </c>
      <c r="AC1272" s="5">
        <v>42215</v>
      </c>
      <c r="AF1272" s="1">
        <v>10019</v>
      </c>
      <c r="AI1272" s="1" t="s">
        <v>55</v>
      </c>
      <c r="AJ1272" s="1">
        <v>1950</v>
      </c>
      <c r="AK1272" s="1" t="s">
        <v>121</v>
      </c>
      <c r="AL1272" s="1">
        <v>55</v>
      </c>
    </row>
    <row r="1273" spans="1:38" x14ac:dyDescent="0.2">
      <c r="A1273" s="2" t="str">
        <f>HYPERLINK("https://www.compass.com/listing/432-west-52nd-street-unit-5c-manhattan-ny-10019/4852320857298568161/","432 W 52nd St, Unit 5C")</f>
        <v>432 W 52nd St, Unit 5C</v>
      </c>
      <c r="B1273" s="2" t="str">
        <f t="shared" si="179"/>
        <v>432 W 52nd St</v>
      </c>
      <c r="C1273" s="1" t="s">
        <v>67</v>
      </c>
      <c r="D1273" s="1" t="s">
        <v>41</v>
      </c>
      <c r="E1273" s="3">
        <v>901151</v>
      </c>
      <c r="F1273" s="1">
        <v>1517.08922558922</v>
      </c>
      <c r="G1273" s="1">
        <v>3</v>
      </c>
      <c r="H1273" s="1">
        <v>1</v>
      </c>
      <c r="I1273" s="1">
        <v>1</v>
      </c>
      <c r="J1273" s="1">
        <v>1</v>
      </c>
      <c r="M1273" s="1">
        <v>594</v>
      </c>
      <c r="N1273" s="1">
        <v>709</v>
      </c>
      <c r="O1273" s="1">
        <v>1508</v>
      </c>
      <c r="P1273" s="1">
        <v>799</v>
      </c>
      <c r="Q1273" s="1" t="s">
        <v>42</v>
      </c>
      <c r="S1273" s="1" t="s">
        <v>42</v>
      </c>
      <c r="T1273" s="1" t="s">
        <v>153</v>
      </c>
      <c r="U1273" s="1">
        <v>27</v>
      </c>
      <c r="V1273" s="5">
        <v>43654</v>
      </c>
      <c r="W1273" s="5">
        <v>42070</v>
      </c>
      <c r="X1273" s="1">
        <v>885000</v>
      </c>
      <c r="Y1273" s="1">
        <v>885000</v>
      </c>
      <c r="Z1273" s="5">
        <v>42097</v>
      </c>
      <c r="AA1273" s="1">
        <v>901151</v>
      </c>
      <c r="AB1273" s="1" t="s">
        <v>1094</v>
      </c>
      <c r="AC1273" s="5">
        <v>42123</v>
      </c>
      <c r="AF1273" s="1">
        <v>10019</v>
      </c>
      <c r="AI1273" s="1" t="s">
        <v>55</v>
      </c>
      <c r="AJ1273" s="1">
        <v>1950</v>
      </c>
      <c r="AK1273" s="1" t="s">
        <v>121</v>
      </c>
      <c r="AL1273" s="1">
        <v>55</v>
      </c>
    </row>
    <row r="1274" spans="1:38" x14ac:dyDescent="0.2">
      <c r="A1274" s="2" t="str">
        <f>HYPERLINK("https://www.compass.com/listing/432-west-52nd-street-unit-2c-manhattan-ny-10019/4852320920406071937/","432 W 52nd St, Unit 2C")</f>
        <v>432 W 52nd St, Unit 2C</v>
      </c>
      <c r="B1274" s="2" t="str">
        <f t="shared" si="179"/>
        <v>432 W 52nd St</v>
      </c>
      <c r="C1274" s="1" t="s">
        <v>67</v>
      </c>
      <c r="D1274" s="1" t="s">
        <v>41</v>
      </c>
      <c r="E1274" s="3">
        <v>870603</v>
      </c>
      <c r="F1274" s="1">
        <v>1465.66161616161</v>
      </c>
      <c r="G1274" s="1">
        <v>2</v>
      </c>
      <c r="H1274" s="1">
        <v>1</v>
      </c>
      <c r="I1274" s="1">
        <v>1</v>
      </c>
      <c r="J1274" s="1">
        <v>1</v>
      </c>
      <c r="M1274" s="1">
        <v>594</v>
      </c>
      <c r="N1274" s="1">
        <v>709</v>
      </c>
      <c r="O1274" s="1">
        <v>1508</v>
      </c>
      <c r="P1274" s="1">
        <v>799</v>
      </c>
      <c r="Q1274" s="1" t="s">
        <v>42</v>
      </c>
      <c r="S1274" s="1" t="s">
        <v>42</v>
      </c>
      <c r="T1274" s="1" t="s">
        <v>153</v>
      </c>
      <c r="V1274" s="5">
        <v>43654</v>
      </c>
      <c r="W1274" s="5">
        <v>42087</v>
      </c>
      <c r="X1274" s="1">
        <v>855000</v>
      </c>
      <c r="Y1274" s="1">
        <v>855000</v>
      </c>
      <c r="Z1274" s="5">
        <v>42087</v>
      </c>
      <c r="AA1274" s="1">
        <v>870603</v>
      </c>
      <c r="AB1274" s="1" t="s">
        <v>1095</v>
      </c>
      <c r="AC1274" s="5">
        <v>42138</v>
      </c>
      <c r="AF1274" s="1">
        <v>10019</v>
      </c>
      <c r="AI1274" s="1" t="s">
        <v>55</v>
      </c>
      <c r="AJ1274" s="1">
        <v>1950</v>
      </c>
      <c r="AK1274" s="1" t="s">
        <v>121</v>
      </c>
      <c r="AL1274" s="1">
        <v>55</v>
      </c>
    </row>
    <row r="1275" spans="1:38" x14ac:dyDescent="0.2">
      <c r="A1275" s="2" t="str">
        <f>HYPERLINK("https://www.compass.com/listing/120-west-118th-street-unit-ph4-manhattan-ny-10026/29515204966584769/","120 W 118th St, Unit PH4")</f>
        <v>120 W 118th St, Unit PH4</v>
      </c>
      <c r="B1275" s="2" t="str">
        <f>HYPERLINK("https://www.compass.com/building/120-w-118th-st-manhattan-ny-10026/281974302755086805/","120 W 118th St")</f>
        <v>120 W 118th St</v>
      </c>
      <c r="C1275" s="1" t="s">
        <v>60</v>
      </c>
      <c r="D1275" s="1" t="s">
        <v>41</v>
      </c>
      <c r="E1275" s="3">
        <v>1609554</v>
      </c>
      <c r="F1275" s="1">
        <v>1329.11179190751</v>
      </c>
      <c r="G1275" s="1">
        <v>4</v>
      </c>
      <c r="H1275" s="1">
        <v>2</v>
      </c>
      <c r="I1275" s="1">
        <v>3</v>
      </c>
      <c r="J1275" s="1">
        <v>2.5</v>
      </c>
      <c r="K1275" s="1">
        <v>2</v>
      </c>
      <c r="L1275" s="1">
        <v>1</v>
      </c>
      <c r="M1275" s="4">
        <v>1211</v>
      </c>
      <c r="N1275" s="1">
        <v>250</v>
      </c>
      <c r="O1275" s="1">
        <v>881</v>
      </c>
      <c r="P1275" s="1">
        <v>631</v>
      </c>
      <c r="Q1275" s="1" t="s">
        <v>42</v>
      </c>
      <c r="S1275" s="1" t="s">
        <v>42</v>
      </c>
      <c r="T1275" s="1" t="s">
        <v>153</v>
      </c>
      <c r="U1275" s="1">
        <v>47</v>
      </c>
      <c r="V1275" s="5">
        <v>43630</v>
      </c>
      <c r="W1275" s="5">
        <v>43118</v>
      </c>
      <c r="X1275" s="1">
        <v>1595000</v>
      </c>
      <c r="Y1275" s="1">
        <v>1595000</v>
      </c>
      <c r="Z1275" s="5">
        <v>43368</v>
      </c>
      <c r="AA1275" s="1">
        <v>1609554.38</v>
      </c>
      <c r="AB1275" s="1" t="s">
        <v>1096</v>
      </c>
      <c r="AC1275" s="5">
        <v>43503</v>
      </c>
      <c r="AF1275" s="1">
        <v>10026</v>
      </c>
      <c r="AI1275" s="1" t="s">
        <v>103</v>
      </c>
      <c r="AJ1275" s="1">
        <v>1910</v>
      </c>
      <c r="AL1275" s="1">
        <v>30</v>
      </c>
    </row>
    <row r="1276" spans="1:38" x14ac:dyDescent="0.2">
      <c r="A1276" s="2" t="str">
        <f>HYPERLINK("https://www.compass.com/listing/102-west-118th-street-unit-2-manhattan-ny-10026/126392550838768529/","102 W 118th St, Unit 2")</f>
        <v>102 W 118th St, Unit 2</v>
      </c>
      <c r="B1276" s="2" t="str">
        <f>HYPERLINK("https://www.compass.com/building/102-w-118th-st-manhattan-ny-10026/281973841314537445/","102 W 118th St")</f>
        <v>102 W 118th St</v>
      </c>
      <c r="C1276" s="1" t="s">
        <v>60</v>
      </c>
      <c r="D1276" s="1" t="s">
        <v>41</v>
      </c>
      <c r="E1276" s="3">
        <v>660000</v>
      </c>
      <c r="F1276" s="1">
        <v>1149.82578397212</v>
      </c>
      <c r="G1276" s="1">
        <v>4</v>
      </c>
      <c r="H1276" s="1">
        <v>1</v>
      </c>
      <c r="I1276" s="1">
        <v>1</v>
      </c>
      <c r="J1276" s="1">
        <v>1</v>
      </c>
      <c r="K1276" s="1">
        <v>1</v>
      </c>
      <c r="M1276" s="1">
        <v>574</v>
      </c>
      <c r="N1276" s="1">
        <v>250</v>
      </c>
      <c r="O1276" s="1">
        <v>326</v>
      </c>
      <c r="P1276" s="1">
        <v>76</v>
      </c>
      <c r="Q1276" s="1" t="s">
        <v>42</v>
      </c>
      <c r="S1276" s="1" t="s">
        <v>42</v>
      </c>
      <c r="T1276" s="1" t="s">
        <v>153</v>
      </c>
      <c r="U1276" s="1">
        <v>46</v>
      </c>
      <c r="V1276" s="5">
        <v>43648</v>
      </c>
      <c r="W1276" s="5">
        <v>43426</v>
      </c>
      <c r="X1276" s="1">
        <v>660000</v>
      </c>
      <c r="Y1276" s="1">
        <v>660000</v>
      </c>
      <c r="Z1276" s="5">
        <v>43472</v>
      </c>
      <c r="AA1276" s="1">
        <v>660000</v>
      </c>
      <c r="AB1276" s="1" t="s">
        <v>1097</v>
      </c>
      <c r="AC1276" s="5">
        <v>43584</v>
      </c>
      <c r="AF1276" s="1">
        <v>10026</v>
      </c>
      <c r="AI1276" s="1" t="s">
        <v>106</v>
      </c>
      <c r="AJ1276" s="1">
        <v>1910</v>
      </c>
      <c r="AL1276" s="1">
        <v>4</v>
      </c>
    </row>
    <row r="1277" spans="1:38" x14ac:dyDescent="0.2">
      <c r="A1277" s="2" t="str">
        <f>HYPERLINK("https://www.compass.com/listing/120-west-118th-street-unit-garden-manhattan-ny-10026/29515203859288481/","120 W 118th St, Unit GARDEN")</f>
        <v>120 W 118th St, Unit GARDEN</v>
      </c>
      <c r="B1277" s="2" t="str">
        <f>HYPERLINK("https://www.compass.com/building/120-w-118th-st-manhattan-ny-10026/281974302755086805/","120 W 118th St")</f>
        <v>120 W 118th St</v>
      </c>
      <c r="C1277" s="1" t="s">
        <v>60</v>
      </c>
      <c r="D1277" s="1" t="s">
        <v>41</v>
      </c>
      <c r="E1277" s="3">
        <v>1795000</v>
      </c>
      <c r="F1277" s="1">
        <v>936.358894105373</v>
      </c>
      <c r="G1277" s="1">
        <v>5</v>
      </c>
      <c r="H1277" s="1">
        <v>2</v>
      </c>
      <c r="I1277" s="1">
        <v>3</v>
      </c>
      <c r="J1277" s="1">
        <v>2.5</v>
      </c>
      <c r="M1277" s="4">
        <v>1917</v>
      </c>
      <c r="N1277" s="1">
        <v>419</v>
      </c>
      <c r="O1277" s="1">
        <v>1479</v>
      </c>
      <c r="P1277" s="1">
        <v>1060</v>
      </c>
      <c r="Q1277" s="1" t="s">
        <v>42</v>
      </c>
      <c r="S1277" s="1" t="s">
        <v>42</v>
      </c>
      <c r="T1277" s="1" t="s">
        <v>153</v>
      </c>
      <c r="U1277" s="1">
        <v>55</v>
      </c>
      <c r="V1277" s="5">
        <v>43630</v>
      </c>
      <c r="W1277" s="5">
        <v>43118</v>
      </c>
      <c r="X1277" s="1">
        <v>1795000</v>
      </c>
      <c r="Y1277" s="1">
        <v>1795000</v>
      </c>
      <c r="Z1277" s="5">
        <v>43368</v>
      </c>
      <c r="AA1277" s="1">
        <v>1795000</v>
      </c>
      <c r="AB1277" s="1" t="s">
        <v>1098</v>
      </c>
      <c r="AC1277" s="5">
        <v>43497</v>
      </c>
      <c r="AF1277" s="1">
        <v>10026</v>
      </c>
      <c r="AI1277" s="1" t="s">
        <v>1099</v>
      </c>
      <c r="AJ1277" s="1">
        <v>1910</v>
      </c>
      <c r="AL1277" s="1">
        <v>30</v>
      </c>
    </row>
    <row r="1278" spans="1:38" x14ac:dyDescent="0.2">
      <c r="A1278" s="2" t="str">
        <f>HYPERLINK("https://www.compass.com/listing/425-west-50th-street-unit-12d-manhattan-ny-10019/29389213275377985/","425 W 50th St, Unit 12D")</f>
        <v>425 W 50th St, Unit 12D</v>
      </c>
      <c r="B1278" s="2" t="str">
        <f t="shared" ref="B1278:B1279" si="180">HYPERLINK("https://www.compass.com/building/stella-tower-manhattan-ny/281945855710262181/","Stella Tower")</f>
        <v>Stella Tower</v>
      </c>
      <c r="C1278" s="1" t="s">
        <v>67</v>
      </c>
      <c r="D1278" s="1" t="s">
        <v>41</v>
      </c>
      <c r="E1278" s="3">
        <v>1344090</v>
      </c>
      <c r="F1278" s="1">
        <v>1317.73529411764</v>
      </c>
      <c r="G1278" s="1">
        <v>3</v>
      </c>
      <c r="H1278" s="1">
        <v>1</v>
      </c>
      <c r="I1278" s="1">
        <v>2</v>
      </c>
      <c r="J1278" s="1">
        <v>1.5</v>
      </c>
      <c r="M1278" s="4">
        <v>1020</v>
      </c>
      <c r="N1278" s="1">
        <v>1155</v>
      </c>
      <c r="O1278" s="1">
        <v>1862</v>
      </c>
      <c r="P1278" s="1">
        <v>707</v>
      </c>
      <c r="Q1278" s="1" t="s">
        <v>42</v>
      </c>
      <c r="S1278" s="1" t="s">
        <v>42</v>
      </c>
      <c r="T1278" s="1" t="s">
        <v>153</v>
      </c>
      <c r="U1278" s="1">
        <v>132</v>
      </c>
      <c r="V1278" s="5">
        <v>42081</v>
      </c>
      <c r="W1278" s="5">
        <v>41859</v>
      </c>
      <c r="X1278" s="1">
        <v>1320000</v>
      </c>
      <c r="Y1278" s="1">
        <v>1320000</v>
      </c>
      <c r="AA1278" s="1">
        <v>1344090</v>
      </c>
      <c r="AB1278" s="1" t="s">
        <v>1100</v>
      </c>
      <c r="AC1278" s="5">
        <v>42074</v>
      </c>
      <c r="AF1278" s="1">
        <v>10019</v>
      </c>
      <c r="AI1278" s="1" t="s">
        <v>45</v>
      </c>
      <c r="AJ1278" s="1">
        <v>1930</v>
      </c>
      <c r="AK1278" s="1" t="s">
        <v>46</v>
      </c>
      <c r="AL1278" s="1">
        <v>51</v>
      </c>
    </row>
    <row r="1279" spans="1:38" x14ac:dyDescent="0.2">
      <c r="A1279" s="2" t="str">
        <f>HYPERLINK("https://www.compass.com/listing/425-west-50th-street-unit-12j-manhattan-ny-10019/29389217108904401/","425 W 50th St, Unit 12J")</f>
        <v>425 W 50th St, Unit 12J</v>
      </c>
      <c r="B1279" s="2" t="str">
        <f t="shared" si="180"/>
        <v>Stella Tower</v>
      </c>
      <c r="C1279" s="1" t="s">
        <v>67</v>
      </c>
      <c r="D1279" s="1" t="s">
        <v>41</v>
      </c>
      <c r="E1279" s="3">
        <v>1303360</v>
      </c>
      <c r="F1279" s="1">
        <v>1412.0910075839599</v>
      </c>
      <c r="G1279" s="1">
        <v>3</v>
      </c>
      <c r="H1279" s="1">
        <v>1</v>
      </c>
      <c r="I1279" s="1">
        <v>1</v>
      </c>
      <c r="J1279" s="1">
        <v>1</v>
      </c>
      <c r="M1279" s="1">
        <v>923</v>
      </c>
      <c r="N1279" s="1">
        <v>1045</v>
      </c>
      <c r="O1279" s="1">
        <v>1685</v>
      </c>
      <c r="P1279" s="1">
        <v>640</v>
      </c>
      <c r="Q1279" s="1" t="s">
        <v>42</v>
      </c>
      <c r="S1279" s="1" t="s">
        <v>42</v>
      </c>
      <c r="T1279" s="1" t="s">
        <v>153</v>
      </c>
      <c r="U1279" s="1">
        <v>132</v>
      </c>
      <c r="V1279" s="5">
        <v>43670</v>
      </c>
      <c r="W1279" s="5">
        <v>41860</v>
      </c>
      <c r="X1279" s="1">
        <v>1280000</v>
      </c>
      <c r="Y1279" s="1">
        <v>1280000</v>
      </c>
      <c r="AA1279" s="1">
        <v>1303360</v>
      </c>
      <c r="AB1279" s="1" t="s">
        <v>1101</v>
      </c>
      <c r="AC1279" s="5">
        <v>42059</v>
      </c>
      <c r="AF1279" s="1">
        <v>10019</v>
      </c>
      <c r="AI1279" s="1" t="s">
        <v>45</v>
      </c>
      <c r="AJ1279" s="1">
        <v>1930</v>
      </c>
      <c r="AK1279" s="1" t="s">
        <v>46</v>
      </c>
      <c r="AL1279" s="1">
        <v>51</v>
      </c>
    </row>
    <row r="1280" spans="1:38" x14ac:dyDescent="0.2">
      <c r="A1280" s="2" t="str">
        <f>HYPERLINK("https://www.compass.com/listing/432-west-52nd-street-unit-2g-manhattan-ny-10019/4852320140097762321/","432 W 52nd St, Unit 2G")</f>
        <v>432 W 52nd St, Unit 2G</v>
      </c>
      <c r="B1280" s="2" t="str">
        <f>HYPERLINK("https://www.compass.com/building/432-w-52nd-st-manhattan-ny-10019/292847238378489941/","432 W 52nd St")</f>
        <v>432 W 52nd St</v>
      </c>
      <c r="C1280" s="1" t="s">
        <v>67</v>
      </c>
      <c r="D1280" s="1" t="s">
        <v>41</v>
      </c>
      <c r="E1280" s="3">
        <v>995000</v>
      </c>
      <c r="F1280" s="1">
        <v>1554.6875</v>
      </c>
      <c r="G1280" s="1">
        <v>2</v>
      </c>
      <c r="H1280" s="1">
        <v>1</v>
      </c>
      <c r="I1280" s="1">
        <v>1</v>
      </c>
      <c r="J1280" s="1">
        <v>1</v>
      </c>
      <c r="M1280" s="1">
        <v>640</v>
      </c>
      <c r="N1280" s="1">
        <v>764</v>
      </c>
      <c r="O1280" s="1">
        <v>1625</v>
      </c>
      <c r="P1280" s="1">
        <v>861</v>
      </c>
      <c r="Q1280" s="1" t="s">
        <v>42</v>
      </c>
      <c r="S1280" s="1" t="s">
        <v>42</v>
      </c>
      <c r="T1280" s="1" t="s">
        <v>153</v>
      </c>
      <c r="U1280" s="1">
        <v>101</v>
      </c>
      <c r="V1280" s="5">
        <v>43655</v>
      </c>
      <c r="W1280" s="5">
        <v>41954</v>
      </c>
      <c r="X1280" s="1">
        <v>995000</v>
      </c>
      <c r="Y1280" s="1">
        <v>995000</v>
      </c>
      <c r="Z1280" s="5">
        <v>42055</v>
      </c>
      <c r="AA1280" s="1">
        <v>995000</v>
      </c>
      <c r="AB1280" s="1" t="s">
        <v>1102</v>
      </c>
      <c r="AC1280" s="5">
        <v>42123</v>
      </c>
      <c r="AF1280" s="1">
        <v>10019</v>
      </c>
      <c r="AI1280" s="1" t="s">
        <v>55</v>
      </c>
      <c r="AJ1280" s="1">
        <v>1950</v>
      </c>
      <c r="AK1280" s="1" t="s">
        <v>121</v>
      </c>
      <c r="AL1280" s="1">
        <v>55</v>
      </c>
    </row>
    <row r="1281" spans="1:38" x14ac:dyDescent="0.2">
      <c r="A1281" s="2" t="str">
        <f>HYPERLINK("https://www.compass.com/listing/1890-adam-clayton-powell-jr-boulevard-unit-2a-manhattan-ny-10026/29429240667656321/","1890 Adam Clayton Powell Jr Blvd, Unit 2A")</f>
        <v>1890 Adam Clayton Powell Jr Blvd, Unit 2A</v>
      </c>
      <c r="B1281" s="2" t="str">
        <f>HYPERLINK("https://www.compass.com/building/the-strathmore-manhattan-ny/815297250581742565/","The Strathmore")</f>
        <v>The Strathmore</v>
      </c>
      <c r="C1281" s="1" t="s">
        <v>60</v>
      </c>
      <c r="D1281" s="1" t="s">
        <v>41</v>
      </c>
      <c r="E1281" s="3">
        <v>899000</v>
      </c>
      <c r="F1281" s="1">
        <v>684.69154607768405</v>
      </c>
      <c r="G1281" s="1">
        <v>5</v>
      </c>
      <c r="H1281" s="1">
        <v>3</v>
      </c>
      <c r="I1281" s="1">
        <v>2</v>
      </c>
      <c r="J1281" s="1">
        <v>2.5</v>
      </c>
      <c r="K1281" s="1">
        <v>2</v>
      </c>
      <c r="L1281" s="1">
        <v>1</v>
      </c>
      <c r="M1281" s="4">
        <v>1313</v>
      </c>
      <c r="N1281" s="1">
        <v>761.08</v>
      </c>
      <c r="O1281" s="1">
        <v>1010.14</v>
      </c>
      <c r="P1281" s="1">
        <v>249.083333333333</v>
      </c>
      <c r="Q1281" s="1" t="s">
        <v>42</v>
      </c>
      <c r="S1281" s="1" t="s">
        <v>42</v>
      </c>
      <c r="T1281" s="1" t="s">
        <v>153</v>
      </c>
      <c r="U1281" s="1">
        <v>58</v>
      </c>
      <c r="V1281" s="5">
        <v>43634</v>
      </c>
      <c r="W1281" s="5">
        <v>41554</v>
      </c>
      <c r="X1281" s="1">
        <v>899000</v>
      </c>
      <c r="Y1281" s="1">
        <v>899000</v>
      </c>
      <c r="Z1281" s="5">
        <v>41612</v>
      </c>
      <c r="AA1281" s="1">
        <v>899000</v>
      </c>
      <c r="AB1281" s="1" t="s">
        <v>1103</v>
      </c>
      <c r="AC1281" s="5">
        <v>41800</v>
      </c>
      <c r="AF1281" s="1">
        <v>10026</v>
      </c>
      <c r="AI1281" s="1" t="s">
        <v>66</v>
      </c>
      <c r="AJ1281" s="1">
        <v>1920</v>
      </c>
      <c r="AL1281" s="1">
        <v>29</v>
      </c>
    </row>
    <row r="1282" spans="1:38" x14ac:dyDescent="0.2">
      <c r="A1282" s="2" t="str">
        <f>HYPERLINK("https://www.compass.com/listing/425-west-50th-street-unit-10j-manhattan-ny-10019/29389206354766113/","425 W 50th St, Unit 10J")</f>
        <v>425 W 50th St, Unit 10J</v>
      </c>
      <c r="B1282" s="2" t="str">
        <f t="shared" ref="B1282:B1283" si="181">HYPERLINK("https://www.compass.com/building/stella-tower-manhattan-ny/281945855710262181/","Stella Tower")</f>
        <v>Stella Tower</v>
      </c>
      <c r="C1282" s="1" t="s">
        <v>67</v>
      </c>
      <c r="D1282" s="1" t="s">
        <v>41</v>
      </c>
      <c r="E1282" s="3">
        <v>1181170</v>
      </c>
      <c r="F1282" s="1">
        <v>1132.4736337488</v>
      </c>
      <c r="G1282" s="1">
        <v>2</v>
      </c>
      <c r="H1282" s="1" t="s">
        <v>94</v>
      </c>
      <c r="I1282" s="1">
        <v>1</v>
      </c>
      <c r="J1282" s="1">
        <v>1</v>
      </c>
      <c r="M1282" s="4">
        <v>1043</v>
      </c>
      <c r="N1282" s="1">
        <v>1178</v>
      </c>
      <c r="O1282" s="1">
        <v>1899</v>
      </c>
      <c r="P1282" s="1">
        <v>721</v>
      </c>
      <c r="Q1282" s="1" t="s">
        <v>42</v>
      </c>
      <c r="S1282" s="1" t="s">
        <v>42</v>
      </c>
      <c r="T1282" s="1" t="s">
        <v>153</v>
      </c>
      <c r="U1282" s="1">
        <v>132</v>
      </c>
      <c r="V1282" s="5">
        <v>43670</v>
      </c>
      <c r="W1282" s="5">
        <v>41860</v>
      </c>
      <c r="X1282" s="1">
        <v>1160000</v>
      </c>
      <c r="Y1282" s="1">
        <v>1160000</v>
      </c>
      <c r="AA1282" s="1">
        <v>1181170</v>
      </c>
      <c r="AB1282" s="1" t="s">
        <v>1104</v>
      </c>
      <c r="AC1282" s="5">
        <v>42034</v>
      </c>
      <c r="AF1282" s="1">
        <v>10019</v>
      </c>
      <c r="AI1282" s="1" t="s">
        <v>45</v>
      </c>
      <c r="AJ1282" s="1">
        <v>1930</v>
      </c>
      <c r="AK1282" s="1" t="s">
        <v>46</v>
      </c>
      <c r="AL1282" s="1">
        <v>51</v>
      </c>
    </row>
    <row r="1283" spans="1:38" x14ac:dyDescent="0.2">
      <c r="A1283" s="2" t="str">
        <f>HYPERLINK("https://www.compass.com/listing/425-west-50th-street-unit-14c-manhattan-ny-10019/29389219315165809/","425 W 50th St, Unit 14C")</f>
        <v>425 W 50th St, Unit 14C</v>
      </c>
      <c r="B1283" s="2" t="str">
        <f t="shared" si="181"/>
        <v>Stella Tower</v>
      </c>
      <c r="C1283" s="1" t="s">
        <v>67</v>
      </c>
      <c r="D1283" s="1" t="s">
        <v>41</v>
      </c>
      <c r="E1283" s="3">
        <v>1445915</v>
      </c>
      <c r="F1283" s="1">
        <v>1575.0708061002099</v>
      </c>
      <c r="G1283" s="1">
        <v>3</v>
      </c>
      <c r="H1283" s="1">
        <v>1</v>
      </c>
      <c r="I1283" s="1">
        <v>2</v>
      </c>
      <c r="J1283" s="1">
        <v>1.5</v>
      </c>
      <c r="M1283" s="1">
        <v>918</v>
      </c>
      <c r="N1283" s="1">
        <v>1041</v>
      </c>
      <c r="O1283" s="1">
        <v>1678</v>
      </c>
      <c r="P1283" s="1">
        <v>637</v>
      </c>
      <c r="Q1283" s="1" t="s">
        <v>42</v>
      </c>
      <c r="S1283" s="1" t="s">
        <v>42</v>
      </c>
      <c r="T1283" s="1" t="s">
        <v>153</v>
      </c>
      <c r="U1283" s="1">
        <v>132</v>
      </c>
      <c r="V1283" s="5">
        <v>43670</v>
      </c>
      <c r="W1283" s="5">
        <v>41860</v>
      </c>
      <c r="X1283" s="1">
        <v>1420000</v>
      </c>
      <c r="Y1283" s="1">
        <v>1420000</v>
      </c>
      <c r="AA1283" s="1">
        <v>1445915</v>
      </c>
      <c r="AB1283" s="1" t="s">
        <v>1105</v>
      </c>
      <c r="AC1283" s="5">
        <v>42018</v>
      </c>
      <c r="AF1283" s="1">
        <v>10019</v>
      </c>
      <c r="AI1283" s="1" t="s">
        <v>45</v>
      </c>
      <c r="AJ1283" s="1">
        <v>1930</v>
      </c>
      <c r="AK1283" s="1" t="s">
        <v>46</v>
      </c>
      <c r="AL1283" s="1">
        <v>51</v>
      </c>
    </row>
    <row r="1284" spans="1:38" x14ac:dyDescent="0.2">
      <c r="A1284" s="2" t="str">
        <f>HYPERLINK("https://www.compass.com/listing/432-west-52nd-street-unit-6f-manhattan-ny-10019/70925448929960065/","432 W 52nd St, Unit 6F")</f>
        <v>432 W 52nd St, Unit 6F</v>
      </c>
      <c r="B1284" s="2" t="str">
        <f t="shared" ref="B1284:B1288" si="182">HYPERLINK("https://www.compass.com/building/432-w-52nd-st-manhattan-ny-10019/292847238378489941/","432 W 52nd St")</f>
        <v>432 W 52nd St</v>
      </c>
      <c r="C1284" s="1" t="s">
        <v>67</v>
      </c>
      <c r="D1284" s="1" t="s">
        <v>41</v>
      </c>
      <c r="E1284" s="3">
        <v>935000</v>
      </c>
      <c r="F1284" s="1">
        <v>1368.96046852122</v>
      </c>
      <c r="G1284" s="1">
        <v>2</v>
      </c>
      <c r="H1284" s="1">
        <v>1</v>
      </c>
      <c r="I1284" s="1">
        <v>1</v>
      </c>
      <c r="J1284" s="1">
        <v>1</v>
      </c>
      <c r="M1284" s="1">
        <v>683</v>
      </c>
      <c r="N1284" s="1">
        <v>815</v>
      </c>
      <c r="O1284" s="1">
        <v>1734</v>
      </c>
      <c r="P1284" s="1">
        <v>919</v>
      </c>
      <c r="Q1284" s="1" t="s">
        <v>42</v>
      </c>
      <c r="S1284" s="1" t="s">
        <v>42</v>
      </c>
      <c r="T1284" s="1" t="s">
        <v>153</v>
      </c>
      <c r="U1284" s="1">
        <v>29</v>
      </c>
      <c r="V1284" s="5">
        <v>42937</v>
      </c>
      <c r="W1284" s="5">
        <v>42228</v>
      </c>
      <c r="X1284" s="1">
        <v>1115000</v>
      </c>
      <c r="Y1284" s="1">
        <v>1115000</v>
      </c>
      <c r="AA1284" s="1">
        <v>935000</v>
      </c>
      <c r="AB1284" s="1" t="s">
        <v>213</v>
      </c>
      <c r="AC1284" s="5">
        <v>42885</v>
      </c>
      <c r="AF1284" s="1">
        <v>10019</v>
      </c>
      <c r="AI1284" s="1" t="s">
        <v>55</v>
      </c>
      <c r="AJ1284" s="1">
        <v>1950</v>
      </c>
      <c r="AK1284" s="1" t="s">
        <v>69</v>
      </c>
      <c r="AL1284" s="1">
        <v>55</v>
      </c>
    </row>
    <row r="1285" spans="1:38" x14ac:dyDescent="0.2">
      <c r="A1285" s="2" t="str">
        <f>HYPERLINK("https://www.compass.com/listing/432-west-52nd-street-unit-4g-manhattan-ny-10019/29389242727771169/","432 W 52nd St, Unit 4G")</f>
        <v>432 W 52nd St, Unit 4G</v>
      </c>
      <c r="B1285" s="2" t="str">
        <f t="shared" si="182"/>
        <v>432 W 52nd St</v>
      </c>
      <c r="C1285" s="1" t="s">
        <v>67</v>
      </c>
      <c r="D1285" s="1" t="s">
        <v>41</v>
      </c>
      <c r="E1285" s="3">
        <v>1033864</v>
      </c>
      <c r="F1285" s="1">
        <v>1615.4124999999999</v>
      </c>
      <c r="G1285" s="1">
        <v>3</v>
      </c>
      <c r="H1285" s="1">
        <v>1</v>
      </c>
      <c r="I1285" s="1">
        <v>1</v>
      </c>
      <c r="J1285" s="1">
        <v>1</v>
      </c>
      <c r="M1285" s="1">
        <v>640</v>
      </c>
      <c r="N1285" s="1">
        <v>764</v>
      </c>
      <c r="O1285" s="1">
        <v>1625</v>
      </c>
      <c r="P1285" s="1">
        <v>861</v>
      </c>
      <c r="Q1285" s="1" t="s">
        <v>42</v>
      </c>
      <c r="S1285" s="1" t="s">
        <v>42</v>
      </c>
      <c r="T1285" s="1" t="s">
        <v>153</v>
      </c>
      <c r="U1285" s="1">
        <v>32</v>
      </c>
      <c r="V1285" s="5">
        <v>43654</v>
      </c>
      <c r="W1285" s="5">
        <v>41922</v>
      </c>
      <c r="X1285" s="1">
        <v>1015000</v>
      </c>
      <c r="Y1285" s="1">
        <v>1015000</v>
      </c>
      <c r="Z1285" s="5">
        <v>41954</v>
      </c>
      <c r="AA1285" s="1">
        <v>1033864</v>
      </c>
      <c r="AB1285" s="1" t="s">
        <v>1106</v>
      </c>
      <c r="AC1285" s="5">
        <v>42087</v>
      </c>
      <c r="AF1285" s="1">
        <v>10019</v>
      </c>
      <c r="AI1285" s="1" t="s">
        <v>55</v>
      </c>
      <c r="AJ1285" s="1">
        <v>1950</v>
      </c>
      <c r="AK1285" s="1" t="s">
        <v>121</v>
      </c>
      <c r="AL1285" s="1">
        <v>55</v>
      </c>
    </row>
    <row r="1286" spans="1:38" x14ac:dyDescent="0.2">
      <c r="A1286" s="2" t="str">
        <f>HYPERLINK("https://www.compass.com/listing/432-west-52nd-street-unit-7f-manhattan-ny-10019/4852276500008802657/","432 W 52nd St, Unit 7F")</f>
        <v>432 W 52nd St, Unit 7F</v>
      </c>
      <c r="B1286" s="2" t="str">
        <f t="shared" si="182"/>
        <v>432 W 52nd St</v>
      </c>
      <c r="C1286" s="1" t="s">
        <v>67</v>
      </c>
      <c r="D1286" s="1" t="s">
        <v>41</v>
      </c>
      <c r="E1286" s="3">
        <v>999888</v>
      </c>
      <c r="F1286" s="1">
        <v>1463.9648609077501</v>
      </c>
      <c r="G1286" s="1">
        <v>3</v>
      </c>
      <c r="H1286" s="1">
        <v>1</v>
      </c>
      <c r="I1286" s="1">
        <v>1</v>
      </c>
      <c r="J1286" s="1">
        <v>1</v>
      </c>
      <c r="M1286" s="1">
        <v>683</v>
      </c>
      <c r="N1286" s="1">
        <v>815</v>
      </c>
      <c r="O1286" s="1">
        <v>1734</v>
      </c>
      <c r="P1286" s="1">
        <v>919</v>
      </c>
      <c r="Q1286" s="1" t="s">
        <v>136</v>
      </c>
      <c r="S1286" s="1" t="s">
        <v>136</v>
      </c>
      <c r="T1286" s="1" t="s">
        <v>153</v>
      </c>
      <c r="U1286" s="1">
        <v>5</v>
      </c>
      <c r="V1286" s="5">
        <v>42937</v>
      </c>
      <c r="W1286" s="5">
        <v>42257</v>
      </c>
      <c r="X1286" s="1">
        <v>1115000</v>
      </c>
      <c r="Y1286" s="1">
        <v>1115000</v>
      </c>
      <c r="AA1286" s="1">
        <v>999888</v>
      </c>
      <c r="AB1286" s="1" t="s">
        <v>1107</v>
      </c>
      <c r="AC1286" s="5">
        <v>43020</v>
      </c>
      <c r="AF1286" s="1">
        <v>10019</v>
      </c>
      <c r="AI1286" s="1" t="s">
        <v>55</v>
      </c>
      <c r="AJ1286" s="1">
        <v>1950</v>
      </c>
      <c r="AK1286" s="1" t="s">
        <v>69</v>
      </c>
      <c r="AL1286" s="1">
        <v>55</v>
      </c>
    </row>
    <row r="1287" spans="1:38" x14ac:dyDescent="0.2">
      <c r="A1287" s="2" t="str">
        <f>HYPERLINK("https://www.compass.com/listing/432-west-52nd-street-unit-2h-manhattan-ny-10019/29389237149289425/","432 W 52nd St, Unit 2H")</f>
        <v>432 W 52nd St, Unit 2H</v>
      </c>
      <c r="B1287" s="2" t="str">
        <f t="shared" si="182"/>
        <v>432 W 52nd St</v>
      </c>
      <c r="C1287" s="1" t="s">
        <v>67</v>
      </c>
      <c r="D1287" s="1" t="s">
        <v>41</v>
      </c>
      <c r="E1287" s="3">
        <v>1044049</v>
      </c>
      <c r="F1287" s="1">
        <v>1530.8636363636299</v>
      </c>
      <c r="G1287" s="1">
        <v>2</v>
      </c>
      <c r="H1287" s="1">
        <v>1</v>
      </c>
      <c r="I1287" s="1">
        <v>1</v>
      </c>
      <c r="J1287" s="1">
        <v>1</v>
      </c>
      <c r="M1287" s="1">
        <v>682</v>
      </c>
      <c r="N1287" s="1">
        <v>814</v>
      </c>
      <c r="O1287" s="1">
        <v>1732</v>
      </c>
      <c r="P1287" s="1">
        <v>918</v>
      </c>
      <c r="Q1287" s="1" t="s">
        <v>42</v>
      </c>
      <c r="S1287" s="1" t="s">
        <v>42</v>
      </c>
      <c r="T1287" s="1" t="s">
        <v>153</v>
      </c>
      <c r="V1287" s="5">
        <v>43654</v>
      </c>
      <c r="W1287" s="5">
        <v>41954</v>
      </c>
      <c r="X1287" s="1">
        <v>1025000</v>
      </c>
      <c r="Y1287" s="1">
        <v>1025000</v>
      </c>
      <c r="Z1287" s="5">
        <v>41954</v>
      </c>
      <c r="AA1287" s="1">
        <v>1044049</v>
      </c>
      <c r="AB1287" s="1" t="s">
        <v>1108</v>
      </c>
      <c r="AC1287" s="5">
        <v>42087</v>
      </c>
      <c r="AF1287" s="1">
        <v>10019</v>
      </c>
      <c r="AI1287" s="1" t="s">
        <v>55</v>
      </c>
      <c r="AJ1287" s="1">
        <v>1950</v>
      </c>
      <c r="AK1287" s="1" t="s">
        <v>121</v>
      </c>
      <c r="AL1287" s="1">
        <v>55</v>
      </c>
    </row>
    <row r="1288" spans="1:38" x14ac:dyDescent="0.2">
      <c r="A1288" s="2" t="str">
        <f>HYPERLINK("https://www.compass.com/listing/432-west-52nd-street-unit-3g-manhattan-ny-10019/4852320893084373617/","432 W 52nd St, Unit 3G")</f>
        <v>432 W 52nd St, Unit 3G</v>
      </c>
      <c r="B1288" s="2" t="str">
        <f t="shared" si="182"/>
        <v>432 W 52nd St</v>
      </c>
      <c r="C1288" s="1" t="s">
        <v>67</v>
      </c>
      <c r="D1288" s="1" t="s">
        <v>41</v>
      </c>
      <c r="E1288" s="3">
        <v>1023341</v>
      </c>
      <c r="F1288" s="1">
        <v>1598.9703125000001</v>
      </c>
      <c r="G1288" s="1">
        <v>2</v>
      </c>
      <c r="H1288" s="1">
        <v>1</v>
      </c>
      <c r="I1288" s="1">
        <v>1</v>
      </c>
      <c r="J1288" s="1">
        <v>1</v>
      </c>
      <c r="M1288" s="1">
        <v>640</v>
      </c>
      <c r="N1288" s="1">
        <v>764</v>
      </c>
      <c r="O1288" s="1">
        <v>1625</v>
      </c>
      <c r="P1288" s="1">
        <v>861</v>
      </c>
      <c r="Q1288" s="1" t="s">
        <v>42</v>
      </c>
      <c r="S1288" s="1" t="s">
        <v>42</v>
      </c>
      <c r="T1288" s="1" t="s">
        <v>153</v>
      </c>
      <c r="V1288" s="5">
        <v>43654</v>
      </c>
      <c r="W1288" s="5">
        <v>41954</v>
      </c>
      <c r="X1288" s="1">
        <v>1005000</v>
      </c>
      <c r="Y1288" s="1">
        <v>1005000</v>
      </c>
      <c r="Z1288" s="5">
        <v>41954</v>
      </c>
      <c r="AA1288" s="1">
        <v>1023341</v>
      </c>
      <c r="AB1288" s="1" t="s">
        <v>1109</v>
      </c>
      <c r="AC1288" s="5">
        <v>42088</v>
      </c>
      <c r="AF1288" s="1">
        <v>10019</v>
      </c>
      <c r="AI1288" s="1" t="s">
        <v>55</v>
      </c>
      <c r="AJ1288" s="1">
        <v>1950</v>
      </c>
      <c r="AK1288" s="1" t="s">
        <v>121</v>
      </c>
      <c r="AL1288" s="1">
        <v>55</v>
      </c>
    </row>
    <row r="1289" spans="1:38" x14ac:dyDescent="0.2">
      <c r="A1289" s="2" t="str">
        <f>HYPERLINK("https://www.compass.com/listing/120-west-118th-street-unit-2-manhattan-ny-10026/343166900175042145/","120 W 118th St, Unit 2")</f>
        <v>120 W 118th St, Unit 2</v>
      </c>
      <c r="B1289" s="2" t="str">
        <f>HYPERLINK("https://www.compass.com/building/120-w-118th-st-manhattan-ny-10026/281974302755086805/","120 W 118th St")</f>
        <v>120 W 118th St</v>
      </c>
      <c r="C1289" s="1" t="s">
        <v>60</v>
      </c>
      <c r="D1289" s="1" t="s">
        <v>41</v>
      </c>
      <c r="E1289" s="3">
        <v>1260000</v>
      </c>
      <c r="F1289" s="1">
        <v>1104.2944785275999</v>
      </c>
      <c r="M1289" s="4">
        <v>1141</v>
      </c>
      <c r="Q1289" s="1" t="s">
        <v>42</v>
      </c>
      <c r="S1289" s="1" t="s">
        <v>42</v>
      </c>
      <c r="T1289" s="1" t="s">
        <v>153</v>
      </c>
      <c r="AA1289" s="1">
        <v>1260000</v>
      </c>
      <c r="AB1289" s="1" t="s">
        <v>1110</v>
      </c>
      <c r="AC1289" s="5">
        <v>43706</v>
      </c>
      <c r="AF1289" s="1">
        <v>10026</v>
      </c>
      <c r="AI1289" s="1" t="s">
        <v>66</v>
      </c>
      <c r="AJ1289" s="1">
        <v>1910</v>
      </c>
      <c r="AL1289" s="1">
        <v>30</v>
      </c>
    </row>
    <row r="1290" spans="1:38" x14ac:dyDescent="0.2">
      <c r="A1290" s="2" t="str">
        <f>HYPERLINK("https://www.compass.com/listing/432-west-52nd-street-unit-3f-manhattan-ny-10019/29389239875644401/","432 W 52nd St, Unit 3F")</f>
        <v>432 W 52nd St, Unit 3F</v>
      </c>
      <c r="B1290" s="2" t="str">
        <f t="shared" ref="B1290:B1292" si="183">HYPERLINK("https://www.compass.com/building/432-w-52nd-st-manhattan-ny-10019/292847238378489941/","432 W 52nd St")</f>
        <v>432 W 52nd St</v>
      </c>
      <c r="C1290" s="1" t="s">
        <v>67</v>
      </c>
      <c r="D1290" s="1" t="s">
        <v>41</v>
      </c>
      <c r="E1290" s="3">
        <v>1054234</v>
      </c>
      <c r="F1290" s="1">
        <v>1543.5344070278099</v>
      </c>
      <c r="G1290" s="1">
        <v>2</v>
      </c>
      <c r="H1290" s="1">
        <v>1</v>
      </c>
      <c r="I1290" s="1">
        <v>1</v>
      </c>
      <c r="J1290" s="1">
        <v>1</v>
      </c>
      <c r="M1290" s="1">
        <v>683</v>
      </c>
      <c r="N1290" s="1">
        <v>815</v>
      </c>
      <c r="O1290" s="1">
        <v>1734</v>
      </c>
      <c r="P1290" s="1">
        <v>919</v>
      </c>
      <c r="Q1290" s="1" t="s">
        <v>42</v>
      </c>
      <c r="S1290" s="1" t="s">
        <v>42</v>
      </c>
      <c r="T1290" s="1" t="s">
        <v>153</v>
      </c>
      <c r="U1290" s="1">
        <v>32</v>
      </c>
      <c r="V1290" s="5">
        <v>43654</v>
      </c>
      <c r="W1290" s="5">
        <v>41922</v>
      </c>
      <c r="X1290" s="1">
        <v>1035000</v>
      </c>
      <c r="Y1290" s="1">
        <v>1035000</v>
      </c>
      <c r="Z1290" s="5">
        <v>41954</v>
      </c>
      <c r="AA1290" s="1">
        <v>1054234</v>
      </c>
      <c r="AB1290" s="1" t="s">
        <v>1111</v>
      </c>
      <c r="AC1290" s="5">
        <v>42087</v>
      </c>
      <c r="AF1290" s="1">
        <v>10019</v>
      </c>
      <c r="AI1290" s="1" t="s">
        <v>55</v>
      </c>
      <c r="AJ1290" s="1">
        <v>1950</v>
      </c>
      <c r="AK1290" s="1" t="s">
        <v>121</v>
      </c>
      <c r="AL1290" s="1">
        <v>55</v>
      </c>
    </row>
    <row r="1291" spans="1:38" x14ac:dyDescent="0.2">
      <c r="A1291" s="2" t="str">
        <f>HYPERLINK("https://www.compass.com/listing/432-west-52nd-street-unit-2a-manhattan-ny-10019/4852260438919880721/","432 W 52nd St, Unit 2A")</f>
        <v>432 W 52nd St, Unit 2A</v>
      </c>
      <c r="B1291" s="2" t="str">
        <f t="shared" si="183"/>
        <v>432 W 52nd St</v>
      </c>
      <c r="C1291" s="1" t="s">
        <v>67</v>
      </c>
      <c r="D1291" s="1" t="s">
        <v>41</v>
      </c>
      <c r="E1291" s="3">
        <v>1374000</v>
      </c>
      <c r="F1291" s="1">
        <v>1155.59293523969</v>
      </c>
      <c r="G1291" s="1">
        <v>4</v>
      </c>
      <c r="H1291" s="1">
        <v>2</v>
      </c>
      <c r="J1291" s="1">
        <v>2</v>
      </c>
      <c r="M1291" s="4">
        <v>1189</v>
      </c>
      <c r="N1291" s="1">
        <v>1419</v>
      </c>
      <c r="O1291" s="1">
        <v>3037</v>
      </c>
      <c r="P1291" s="1">
        <v>1618</v>
      </c>
      <c r="Q1291" s="1" t="s">
        <v>42</v>
      </c>
      <c r="S1291" s="1" t="s">
        <v>42</v>
      </c>
      <c r="T1291" s="1" t="s">
        <v>153</v>
      </c>
      <c r="U1291" s="1">
        <v>128</v>
      </c>
      <c r="V1291" s="5">
        <v>43676</v>
      </c>
      <c r="W1291" s="5">
        <v>42340</v>
      </c>
      <c r="X1291" s="1">
        <v>1495000</v>
      </c>
      <c r="Y1291" s="1">
        <v>1395000</v>
      </c>
      <c r="Z1291" s="5">
        <v>42468</v>
      </c>
      <c r="AA1291" s="1">
        <v>1374000</v>
      </c>
      <c r="AB1291" s="1" t="s">
        <v>1112</v>
      </c>
      <c r="AC1291" s="5">
        <v>42530</v>
      </c>
      <c r="AF1291" s="1">
        <v>10019</v>
      </c>
      <c r="AI1291" s="1" t="s">
        <v>55</v>
      </c>
      <c r="AJ1291" s="1">
        <v>1950</v>
      </c>
      <c r="AK1291" s="1" t="s">
        <v>69</v>
      </c>
      <c r="AL1291" s="1">
        <v>55</v>
      </c>
    </row>
    <row r="1292" spans="1:38" x14ac:dyDescent="0.2">
      <c r="A1292" s="2" t="str">
        <f>HYPERLINK("https://www.compass.com/listing/432-west-52nd-street-unit-5h-manhattan-ny-10019/29389245781224545/","432 W 52nd St, Unit 5H")</f>
        <v>432 W 52nd St, Unit 5H</v>
      </c>
      <c r="B1292" s="2" t="str">
        <f t="shared" si="183"/>
        <v>432 W 52nd St</v>
      </c>
      <c r="C1292" s="1" t="s">
        <v>67</v>
      </c>
      <c r="D1292" s="1" t="s">
        <v>41</v>
      </c>
      <c r="E1292" s="3">
        <v>1099835</v>
      </c>
      <c r="F1292" s="1">
        <v>1612.66129032258</v>
      </c>
      <c r="G1292" s="1">
        <v>2</v>
      </c>
      <c r="H1292" s="1">
        <v>1</v>
      </c>
      <c r="I1292" s="1">
        <v>1</v>
      </c>
      <c r="J1292" s="1">
        <v>1</v>
      </c>
      <c r="M1292" s="1">
        <v>682</v>
      </c>
      <c r="N1292" s="1">
        <v>814</v>
      </c>
      <c r="O1292" s="1">
        <v>1732</v>
      </c>
      <c r="P1292" s="1">
        <v>918</v>
      </c>
      <c r="Q1292" s="1" t="s">
        <v>42</v>
      </c>
      <c r="S1292" s="1" t="s">
        <v>42</v>
      </c>
      <c r="T1292" s="1" t="s">
        <v>153</v>
      </c>
      <c r="U1292" s="1">
        <v>4</v>
      </c>
      <c r="V1292" s="5">
        <v>43654</v>
      </c>
      <c r="W1292" s="5">
        <v>41950</v>
      </c>
      <c r="X1292" s="1">
        <v>1080000</v>
      </c>
      <c r="Y1292" s="1">
        <v>1080000</v>
      </c>
      <c r="Z1292" s="5">
        <v>41954</v>
      </c>
      <c r="AA1292" s="1">
        <v>1099835</v>
      </c>
      <c r="AB1292" s="1" t="s">
        <v>1113</v>
      </c>
      <c r="AC1292" s="5">
        <v>42072</v>
      </c>
      <c r="AF1292" s="1">
        <v>10019</v>
      </c>
      <c r="AI1292" s="1" t="s">
        <v>55</v>
      </c>
      <c r="AJ1292" s="1">
        <v>1950</v>
      </c>
      <c r="AK1292" s="1" t="s">
        <v>121</v>
      </c>
      <c r="AL1292" s="1">
        <v>55</v>
      </c>
    </row>
    <row r="1293" spans="1:38" x14ac:dyDescent="0.2">
      <c r="A1293" s="2" t="str">
        <f>HYPERLINK("https://www.compass.com/listing/1890-adam-clayton-powell-jr-boulevard-unit-2b-manhattan-ny-10026/222116127013195265/","1890 Adam Clayton Powell Jr Blvd, Unit 2B")</f>
        <v>1890 Adam Clayton Powell Jr Blvd, Unit 2B</v>
      </c>
      <c r="B1293" s="2" t="str">
        <f t="shared" ref="B1293:B1294" si="184">HYPERLINK("https://www.compass.com/building/the-strathmore-manhattan-ny/815297250581742565/","The Strathmore")</f>
        <v>The Strathmore</v>
      </c>
      <c r="C1293" s="1" t="s">
        <v>60</v>
      </c>
      <c r="D1293" s="1" t="s">
        <v>41</v>
      </c>
      <c r="E1293" s="3">
        <v>1479000</v>
      </c>
      <c r="F1293" s="1">
        <v>772.72727272727195</v>
      </c>
      <c r="H1293" s="1">
        <v>3</v>
      </c>
      <c r="J1293" s="1">
        <v>2</v>
      </c>
      <c r="K1293" s="1">
        <v>2</v>
      </c>
      <c r="M1293" s="4">
        <v>1914</v>
      </c>
      <c r="N1293" s="1">
        <v>1250</v>
      </c>
      <c r="O1293" s="1">
        <v>1251</v>
      </c>
      <c r="P1293" s="1">
        <v>1</v>
      </c>
      <c r="Q1293" s="1" t="s">
        <v>42</v>
      </c>
      <c r="S1293" s="1" t="s">
        <v>42</v>
      </c>
      <c r="T1293" s="1" t="s">
        <v>153</v>
      </c>
      <c r="AA1293" s="1">
        <v>1479000</v>
      </c>
      <c r="AB1293" s="1" t="s">
        <v>1114</v>
      </c>
      <c r="AC1293" s="5">
        <v>42256</v>
      </c>
      <c r="AF1293" s="1">
        <v>10026</v>
      </c>
      <c r="AJ1293" s="1">
        <v>1920</v>
      </c>
      <c r="AL1293" s="1">
        <v>29</v>
      </c>
    </row>
    <row r="1294" spans="1:38" x14ac:dyDescent="0.2">
      <c r="A1294" s="2" t="str">
        <f>HYPERLINK("https://www.compass.com/listing/1890-adam-clayton-powell-jr-boulevard-unit-6b-manhattan-ny-10026/29429248510951393/","1890 Adam Clayton Powell Jr Blvd, Unit 6B")</f>
        <v>1890 Adam Clayton Powell Jr Blvd, Unit 6B</v>
      </c>
      <c r="B1294" s="2" t="str">
        <f t="shared" si="184"/>
        <v>The Strathmore</v>
      </c>
      <c r="C1294" s="1" t="s">
        <v>60</v>
      </c>
      <c r="D1294" s="1" t="s">
        <v>41</v>
      </c>
      <c r="E1294" s="3">
        <v>1374638</v>
      </c>
      <c r="F1294" s="1">
        <v>722.73264984227103</v>
      </c>
      <c r="H1294" s="1">
        <v>3</v>
      </c>
      <c r="J1294" s="1">
        <v>2</v>
      </c>
      <c r="K1294" s="1">
        <v>2</v>
      </c>
      <c r="M1294" s="4">
        <v>1902</v>
      </c>
      <c r="N1294" s="1">
        <v>1</v>
      </c>
      <c r="O1294" s="1">
        <v>2</v>
      </c>
      <c r="P1294" s="1">
        <v>1</v>
      </c>
      <c r="Q1294" s="1" t="s">
        <v>42</v>
      </c>
      <c r="S1294" s="1" t="s">
        <v>42</v>
      </c>
      <c r="T1294" s="1" t="s">
        <v>153</v>
      </c>
      <c r="AA1294" s="1">
        <v>1374637.5</v>
      </c>
      <c r="AB1294" s="1" t="s">
        <v>1115</v>
      </c>
      <c r="AC1294" s="5">
        <v>42032</v>
      </c>
      <c r="AF1294" s="1">
        <v>10026</v>
      </c>
      <c r="AJ1294" s="1">
        <v>1920</v>
      </c>
      <c r="AL1294" s="1">
        <v>29</v>
      </c>
    </row>
    <row r="1295" spans="1:38" x14ac:dyDescent="0.2">
      <c r="A1295" s="2" t="str">
        <f>HYPERLINK("https://www.compass.com/listing/432-west-52nd-street-unit-5g-manhattan-ny-10019/4852269820797782561/","432 W 52nd St, Unit 5G")</f>
        <v>432 W 52nd St, Unit 5G</v>
      </c>
      <c r="B1295" s="2" t="str">
        <f t="shared" ref="B1295:B1297" si="185">HYPERLINK("https://www.compass.com/building/432-w-52nd-st-manhattan-ny-10019/292847238378489941/","432 W 52nd St")</f>
        <v>432 W 52nd St</v>
      </c>
      <c r="C1295" s="1" t="s">
        <v>67</v>
      </c>
      <c r="D1295" s="1" t="s">
        <v>41</v>
      </c>
      <c r="E1295" s="3">
        <v>1053888</v>
      </c>
      <c r="F1295" s="1">
        <v>1646.7</v>
      </c>
      <c r="G1295" s="1">
        <v>2</v>
      </c>
      <c r="H1295" s="1">
        <v>1</v>
      </c>
      <c r="I1295" s="1">
        <v>1</v>
      </c>
      <c r="J1295" s="1">
        <v>1</v>
      </c>
      <c r="M1295" s="1">
        <v>640</v>
      </c>
      <c r="N1295" s="1">
        <v>764</v>
      </c>
      <c r="O1295" s="1">
        <v>1625</v>
      </c>
      <c r="P1295" s="1">
        <v>861</v>
      </c>
      <c r="Q1295" s="1" t="s">
        <v>42</v>
      </c>
      <c r="S1295" s="1" t="s">
        <v>42</v>
      </c>
      <c r="T1295" s="1" t="s">
        <v>153</v>
      </c>
      <c r="U1295" s="1">
        <v>76</v>
      </c>
      <c r="V1295" s="5">
        <v>43654</v>
      </c>
      <c r="W1295" s="5">
        <v>42056</v>
      </c>
      <c r="X1295" s="1">
        <v>1035000</v>
      </c>
      <c r="Y1295" s="1">
        <v>1035000</v>
      </c>
      <c r="Z1295" s="5">
        <v>42132</v>
      </c>
      <c r="AA1295" s="1">
        <v>1053888</v>
      </c>
      <c r="AB1295" s="1" t="s">
        <v>1116</v>
      </c>
      <c r="AC1295" s="5">
        <v>42195</v>
      </c>
      <c r="AF1295" s="1">
        <v>10019</v>
      </c>
      <c r="AI1295" s="1" t="s">
        <v>55</v>
      </c>
      <c r="AJ1295" s="1">
        <v>1950</v>
      </c>
      <c r="AK1295" s="1" t="s">
        <v>121</v>
      </c>
      <c r="AL1295" s="1">
        <v>55</v>
      </c>
    </row>
    <row r="1296" spans="1:38" x14ac:dyDescent="0.2">
      <c r="A1296" s="2" t="str">
        <f>HYPERLINK("https://www.compass.com/listing/432-west-52nd-street-unit-4h-manhattan-ny-10019/4852269955317513313/","432 W 52nd St, Unit 4H")</f>
        <v>432 W 52nd St, Unit 4H</v>
      </c>
      <c r="B1296" s="2" t="str">
        <f t="shared" si="185"/>
        <v>432 W 52nd St</v>
      </c>
      <c r="C1296" s="1" t="s">
        <v>67</v>
      </c>
      <c r="D1296" s="1" t="s">
        <v>41</v>
      </c>
      <c r="E1296" s="3">
        <v>1084436</v>
      </c>
      <c r="F1296" s="1">
        <v>1590.0821114369501</v>
      </c>
      <c r="G1296" s="1">
        <v>2</v>
      </c>
      <c r="H1296" s="1">
        <v>1</v>
      </c>
      <c r="I1296" s="1">
        <v>1</v>
      </c>
      <c r="J1296" s="1">
        <v>1</v>
      </c>
      <c r="M1296" s="1">
        <v>682</v>
      </c>
      <c r="N1296" s="1">
        <v>814</v>
      </c>
      <c r="O1296" s="1">
        <v>1732</v>
      </c>
      <c r="P1296" s="1">
        <v>918</v>
      </c>
      <c r="Q1296" s="1" t="s">
        <v>42</v>
      </c>
      <c r="S1296" s="1" t="s">
        <v>42</v>
      </c>
      <c r="T1296" s="1" t="s">
        <v>153</v>
      </c>
      <c r="U1296" s="1">
        <v>176</v>
      </c>
      <c r="V1296" s="5">
        <v>43650</v>
      </c>
      <c r="W1296" s="5">
        <v>42081</v>
      </c>
      <c r="X1296" s="1">
        <v>1065000</v>
      </c>
      <c r="Y1296" s="1">
        <v>1065000</v>
      </c>
      <c r="Z1296" s="5">
        <v>42257</v>
      </c>
      <c r="AA1296" s="1">
        <v>1084436</v>
      </c>
      <c r="AB1296" s="1" t="s">
        <v>1117</v>
      </c>
      <c r="AC1296" s="5">
        <v>42277</v>
      </c>
      <c r="AF1296" s="1">
        <v>10019</v>
      </c>
      <c r="AI1296" s="1" t="s">
        <v>55</v>
      </c>
      <c r="AJ1296" s="1">
        <v>1950</v>
      </c>
      <c r="AK1296" s="1" t="s">
        <v>69</v>
      </c>
      <c r="AL1296" s="1">
        <v>55</v>
      </c>
    </row>
    <row r="1297" spans="1:38" x14ac:dyDescent="0.2">
      <c r="A1297" s="2" t="str">
        <f>HYPERLINK("https://www.compass.com/listing/432-west-52nd-street-unit-3h-manhattan-ny-10019/4852320248428236801/","432 W 52nd St, Unit 3H")</f>
        <v>432 W 52nd St, Unit 3H</v>
      </c>
      <c r="B1297" s="2" t="str">
        <f t="shared" si="185"/>
        <v>432 W 52nd St</v>
      </c>
      <c r="C1297" s="1" t="s">
        <v>67</v>
      </c>
      <c r="D1297" s="1" t="s">
        <v>41</v>
      </c>
      <c r="E1297" s="3">
        <v>1074253</v>
      </c>
      <c r="F1297" s="1">
        <v>1575.1510263929599</v>
      </c>
      <c r="G1297" s="1">
        <v>2</v>
      </c>
      <c r="H1297" s="1">
        <v>1</v>
      </c>
      <c r="I1297" s="1">
        <v>1</v>
      </c>
      <c r="J1297" s="1">
        <v>1</v>
      </c>
      <c r="M1297" s="1">
        <v>682</v>
      </c>
      <c r="N1297" s="1">
        <v>814</v>
      </c>
      <c r="O1297" s="1">
        <v>1732</v>
      </c>
      <c r="P1297" s="1">
        <v>918</v>
      </c>
      <c r="Q1297" s="1" t="s">
        <v>42</v>
      </c>
      <c r="S1297" s="1" t="s">
        <v>42</v>
      </c>
      <c r="T1297" s="1" t="s">
        <v>153</v>
      </c>
      <c r="U1297" s="1">
        <v>127</v>
      </c>
      <c r="V1297" s="5">
        <v>43654</v>
      </c>
      <c r="W1297" s="5">
        <v>41954</v>
      </c>
      <c r="X1297" s="1">
        <v>1035000</v>
      </c>
      <c r="Y1297" s="1">
        <v>1055000</v>
      </c>
      <c r="Z1297" s="5">
        <v>42081</v>
      </c>
      <c r="AA1297" s="1">
        <v>1074253</v>
      </c>
      <c r="AB1297" s="1" t="s">
        <v>1118</v>
      </c>
      <c r="AC1297" s="5">
        <v>42146</v>
      </c>
      <c r="AF1297" s="1">
        <v>10019</v>
      </c>
      <c r="AI1297" s="1" t="s">
        <v>55</v>
      </c>
      <c r="AJ1297" s="1">
        <v>1950</v>
      </c>
      <c r="AK1297" s="1" t="s">
        <v>121</v>
      </c>
      <c r="AL1297" s="1">
        <v>55</v>
      </c>
    </row>
    <row r="1298" spans="1:38" x14ac:dyDescent="0.2">
      <c r="A1298" s="2" t="str">
        <f>HYPERLINK("https://www.compass.com/listing/425-west-50th-street-unit-12f-manhattan-ny-10019/29389215364073873/","425 W 50th St, Unit 12F")</f>
        <v>425 W 50th St, Unit 12F</v>
      </c>
      <c r="B1298" s="2" t="str">
        <f t="shared" ref="B1298:B1301" si="186">HYPERLINK("https://www.compass.com/building/stella-tower-manhattan-ny/281945855710262181/","Stella Tower")</f>
        <v>Stella Tower</v>
      </c>
      <c r="C1298" s="1" t="s">
        <v>67</v>
      </c>
      <c r="D1298" s="1" t="s">
        <v>41</v>
      </c>
      <c r="E1298" s="3">
        <v>1588470</v>
      </c>
      <c r="F1298" s="1">
        <v>1444.0636363636299</v>
      </c>
      <c r="G1298" s="1">
        <v>3</v>
      </c>
      <c r="H1298" s="1">
        <v>1</v>
      </c>
      <c r="I1298" s="1">
        <v>2</v>
      </c>
      <c r="J1298" s="1">
        <v>1.5</v>
      </c>
      <c r="M1298" s="4">
        <v>1100</v>
      </c>
      <c r="N1298" s="1">
        <v>1246</v>
      </c>
      <c r="O1298" s="1">
        <v>2009</v>
      </c>
      <c r="P1298" s="1">
        <v>763</v>
      </c>
      <c r="Q1298" s="1" t="s">
        <v>42</v>
      </c>
      <c r="S1298" s="1" t="s">
        <v>42</v>
      </c>
      <c r="T1298" s="1" t="s">
        <v>153</v>
      </c>
      <c r="U1298" s="1">
        <v>132</v>
      </c>
      <c r="V1298" s="5">
        <v>42090</v>
      </c>
      <c r="W1298" s="5">
        <v>41859</v>
      </c>
      <c r="X1298" s="1">
        <v>1560000</v>
      </c>
      <c r="Y1298" s="1">
        <v>1560000</v>
      </c>
      <c r="AA1298" s="1">
        <v>1588470</v>
      </c>
      <c r="AB1298" s="1" t="s">
        <v>1119</v>
      </c>
      <c r="AC1298" s="5">
        <v>42061</v>
      </c>
      <c r="AF1298" s="1">
        <v>10019</v>
      </c>
      <c r="AI1298" s="1" t="s">
        <v>45</v>
      </c>
      <c r="AJ1298" s="1">
        <v>1930</v>
      </c>
      <c r="AK1298" s="1" t="s">
        <v>46</v>
      </c>
      <c r="AL1298" s="1">
        <v>51</v>
      </c>
    </row>
    <row r="1299" spans="1:38" x14ac:dyDescent="0.2">
      <c r="A1299" s="2" t="str">
        <f>HYPERLINK("https://www.compass.com/listing/425-west-50th-street-unit-12k-manhattan-ny-10019/29389217486449217/","425 W 50th St, Unit 12K")</f>
        <v>425 W 50th St, Unit 12K</v>
      </c>
      <c r="B1299" s="2" t="str">
        <f t="shared" si="186"/>
        <v>Stella Tower</v>
      </c>
      <c r="C1299" s="1" t="s">
        <v>67</v>
      </c>
      <c r="D1299" s="1" t="s">
        <v>41</v>
      </c>
      <c r="E1299" s="3">
        <v>1578288</v>
      </c>
      <c r="F1299" s="1">
        <v>1277.9655870445299</v>
      </c>
      <c r="G1299" s="1">
        <v>3</v>
      </c>
      <c r="H1299" s="1">
        <v>1</v>
      </c>
      <c r="I1299" s="1">
        <v>2</v>
      </c>
      <c r="J1299" s="1">
        <v>1.5</v>
      </c>
      <c r="M1299" s="4">
        <v>1235</v>
      </c>
      <c r="N1299" s="1">
        <v>1399</v>
      </c>
      <c r="O1299" s="1">
        <v>2255</v>
      </c>
      <c r="P1299" s="1">
        <v>856</v>
      </c>
      <c r="Q1299" s="1" t="s">
        <v>42</v>
      </c>
      <c r="S1299" s="1" t="s">
        <v>42</v>
      </c>
      <c r="T1299" s="1" t="s">
        <v>153</v>
      </c>
      <c r="U1299" s="1">
        <v>132</v>
      </c>
      <c r="V1299" s="5">
        <v>42063</v>
      </c>
      <c r="W1299" s="5">
        <v>41859</v>
      </c>
      <c r="X1299" s="1">
        <v>1550000</v>
      </c>
      <c r="Y1299" s="1">
        <v>1550000</v>
      </c>
      <c r="AA1299" s="1">
        <v>1578287.5</v>
      </c>
      <c r="AB1299" s="1" t="s">
        <v>1120</v>
      </c>
      <c r="AC1299" s="5">
        <v>42059</v>
      </c>
      <c r="AF1299" s="1">
        <v>10019</v>
      </c>
      <c r="AI1299" s="1" t="s">
        <v>45</v>
      </c>
      <c r="AJ1299" s="1">
        <v>1930</v>
      </c>
      <c r="AK1299" s="1" t="s">
        <v>46</v>
      </c>
      <c r="AL1299" s="1">
        <v>51</v>
      </c>
    </row>
    <row r="1300" spans="1:38" x14ac:dyDescent="0.2">
      <c r="A1300" s="2" t="str">
        <f>HYPERLINK("https://www.compass.com/listing/425-west-50th-street-unit-15c-manhattan-ny-10019/29389221865245233/","425 W 50th St, Unit 15C")</f>
        <v>425 W 50th St, Unit 15C</v>
      </c>
      <c r="B1300" s="2" t="str">
        <f t="shared" si="186"/>
        <v>Stella Tower</v>
      </c>
      <c r="C1300" s="1" t="s">
        <v>67</v>
      </c>
      <c r="D1300" s="1" t="s">
        <v>41</v>
      </c>
      <c r="E1300" s="3">
        <v>1476463</v>
      </c>
      <c r="F1300" s="1">
        <v>1626.06057268722</v>
      </c>
      <c r="G1300" s="1">
        <v>3</v>
      </c>
      <c r="H1300" s="1">
        <v>1</v>
      </c>
      <c r="I1300" s="1">
        <v>2</v>
      </c>
      <c r="J1300" s="1">
        <v>1.5</v>
      </c>
      <c r="M1300" s="1">
        <v>908</v>
      </c>
      <c r="N1300" s="1">
        <v>1031</v>
      </c>
      <c r="O1300" s="1">
        <v>1662</v>
      </c>
      <c r="P1300" s="1">
        <v>631</v>
      </c>
      <c r="Q1300" s="1" t="s">
        <v>42</v>
      </c>
      <c r="S1300" s="1" t="s">
        <v>42</v>
      </c>
      <c r="T1300" s="1" t="s">
        <v>153</v>
      </c>
      <c r="U1300" s="1">
        <v>132</v>
      </c>
      <c r="V1300" s="5">
        <v>43670</v>
      </c>
      <c r="W1300" s="5">
        <v>41860</v>
      </c>
      <c r="X1300" s="1">
        <v>1450000</v>
      </c>
      <c r="Y1300" s="1">
        <v>1450000</v>
      </c>
      <c r="AA1300" s="1">
        <v>1476463</v>
      </c>
      <c r="AB1300" s="1" t="s">
        <v>1121</v>
      </c>
      <c r="AC1300" s="5">
        <v>42013</v>
      </c>
      <c r="AF1300" s="1">
        <v>10019</v>
      </c>
      <c r="AI1300" s="1" t="s">
        <v>45</v>
      </c>
      <c r="AJ1300" s="1">
        <v>1930</v>
      </c>
      <c r="AK1300" s="1" t="s">
        <v>46</v>
      </c>
      <c r="AL1300" s="1">
        <v>51</v>
      </c>
    </row>
    <row r="1301" spans="1:38" x14ac:dyDescent="0.2">
      <c r="A1301" s="2" t="str">
        <f>HYPERLINK("https://www.compass.com/listing/425-west-50th-street-unit-11e-manhattan-ny-10019/29513500451708641/","425 W 50th St, Unit 11E")</f>
        <v>425 W 50th St, Unit 11E</v>
      </c>
      <c r="B1301" s="2" t="str">
        <f t="shared" si="186"/>
        <v>Stella Tower</v>
      </c>
      <c r="C1301" s="1" t="s">
        <v>67</v>
      </c>
      <c r="D1301" s="1" t="s">
        <v>41</v>
      </c>
      <c r="E1301" s="3">
        <v>2240150</v>
      </c>
      <c r="F1301" s="1">
        <v>2029.1213768115899</v>
      </c>
      <c r="G1301" s="1">
        <v>3</v>
      </c>
      <c r="H1301" s="1">
        <v>1</v>
      </c>
      <c r="I1301" s="1">
        <v>2</v>
      </c>
      <c r="J1301" s="1">
        <v>1.5</v>
      </c>
      <c r="M1301" s="4">
        <v>1104</v>
      </c>
      <c r="N1301" s="1">
        <v>1249</v>
      </c>
      <c r="O1301" s="1">
        <v>2014</v>
      </c>
      <c r="P1301" s="1">
        <v>765</v>
      </c>
      <c r="Q1301" s="1" t="s">
        <v>42</v>
      </c>
      <c r="S1301" s="1" t="s">
        <v>42</v>
      </c>
      <c r="T1301" s="1" t="s">
        <v>153</v>
      </c>
      <c r="V1301" s="5">
        <v>43643</v>
      </c>
      <c r="W1301" s="5">
        <v>41976</v>
      </c>
      <c r="X1301" s="1">
        <v>2200000</v>
      </c>
      <c r="Y1301" s="1">
        <v>2200000</v>
      </c>
      <c r="Z1301" s="5">
        <v>41976</v>
      </c>
      <c r="AA1301" s="1">
        <v>2240150</v>
      </c>
      <c r="AB1301" s="1" t="s">
        <v>1122</v>
      </c>
      <c r="AC1301" s="5">
        <v>41991</v>
      </c>
      <c r="AF1301" s="1">
        <v>10019</v>
      </c>
      <c r="AI1301" s="1" t="s">
        <v>45</v>
      </c>
      <c r="AJ1301" s="1">
        <v>1930</v>
      </c>
      <c r="AK1301" s="1" t="s">
        <v>46</v>
      </c>
      <c r="AL1301" s="1">
        <v>51</v>
      </c>
    </row>
    <row r="1302" spans="1:38" x14ac:dyDescent="0.2">
      <c r="A1302" s="2" t="str">
        <f>HYPERLINK("https://www.compass.com/listing/192-lenox-avenue-unit-phb-manhattan-ny-10026/29428194004174737/","192 Lenox Ave, Unit PHB")</f>
        <v>192 Lenox Ave, Unit PHB</v>
      </c>
      <c r="B1302" s="2" t="str">
        <f>HYPERLINK("https://www.compass.com/building/192-lenox-ave-manhattan-ny-10026/281975082820136613/","192 Lenox Ave")</f>
        <v>192 Lenox Ave</v>
      </c>
      <c r="C1302" s="1" t="s">
        <v>60</v>
      </c>
      <c r="D1302" s="1" t="s">
        <v>41</v>
      </c>
      <c r="E1302" s="3">
        <v>766935</v>
      </c>
      <c r="F1302" s="1">
        <v>821.12955032119896</v>
      </c>
      <c r="G1302" s="1">
        <v>3</v>
      </c>
      <c r="H1302" s="1">
        <v>1</v>
      </c>
      <c r="I1302" s="1">
        <v>2</v>
      </c>
      <c r="J1302" s="1">
        <v>0.5</v>
      </c>
      <c r="L1302" s="1">
        <v>1</v>
      </c>
      <c r="M1302" s="1">
        <v>934</v>
      </c>
      <c r="N1302" s="1">
        <v>666</v>
      </c>
      <c r="O1302" s="1">
        <v>1422</v>
      </c>
      <c r="P1302" s="1">
        <v>756</v>
      </c>
      <c r="Q1302" s="1" t="s">
        <v>42</v>
      </c>
      <c r="S1302" s="1" t="s">
        <v>42</v>
      </c>
      <c r="T1302" s="1" t="s">
        <v>153</v>
      </c>
      <c r="U1302" s="1">
        <v>139</v>
      </c>
      <c r="V1302" s="5">
        <v>43693</v>
      </c>
      <c r="W1302" s="5">
        <v>42035</v>
      </c>
      <c r="X1302" s="1">
        <v>785000</v>
      </c>
      <c r="Y1302" s="1">
        <v>795000</v>
      </c>
      <c r="Z1302" s="5">
        <v>42174</v>
      </c>
      <c r="AA1302" s="1">
        <v>766935</v>
      </c>
      <c r="AB1302" s="1" t="s">
        <v>1040</v>
      </c>
      <c r="AC1302" s="5">
        <v>42347</v>
      </c>
      <c r="AF1302" s="1">
        <v>10026</v>
      </c>
      <c r="AI1302" s="1" t="s">
        <v>106</v>
      </c>
      <c r="AJ1302" s="1">
        <v>1909</v>
      </c>
      <c r="AL1302" s="1">
        <v>6</v>
      </c>
    </row>
    <row r="1303" spans="1:38" x14ac:dyDescent="0.2">
      <c r="A1303" s="2" t="str">
        <f>HYPERLINK("https://www.compass.com/listing/1890-adam-clayton-powell-jr-boulevard-unit-6e-manhattan-ny-10026/344860086586348177/","1890 Adam Clayton Powell Jr Blvd, Unit 6E")</f>
        <v>1890 Adam Clayton Powell Jr Blvd, Unit 6E</v>
      </c>
      <c r="B1303" s="2" t="str">
        <f t="shared" ref="B1303:B1304" si="187">HYPERLINK("https://www.compass.com/building/the-strathmore-manhattan-ny/815297250581742565/","The Strathmore")</f>
        <v>The Strathmore</v>
      </c>
      <c r="C1303" s="1" t="s">
        <v>60</v>
      </c>
      <c r="D1303" s="1" t="s">
        <v>41</v>
      </c>
      <c r="E1303" s="3">
        <v>1195000</v>
      </c>
      <c r="F1303" s="1">
        <v>710.04159239453304</v>
      </c>
      <c r="G1303" s="1">
        <v>4</v>
      </c>
      <c r="H1303" s="1">
        <v>3</v>
      </c>
      <c r="I1303" s="1">
        <v>2</v>
      </c>
      <c r="J1303" s="1">
        <v>2</v>
      </c>
      <c r="K1303" s="1">
        <v>2</v>
      </c>
      <c r="M1303" s="4">
        <v>1683</v>
      </c>
      <c r="N1303" s="1">
        <v>1189.77</v>
      </c>
      <c r="O1303" s="1">
        <v>1189.77</v>
      </c>
      <c r="Q1303" s="1" t="s">
        <v>42</v>
      </c>
      <c r="S1303" s="1" t="s">
        <v>42</v>
      </c>
      <c r="T1303" s="1" t="s">
        <v>153</v>
      </c>
      <c r="U1303" s="1">
        <v>271</v>
      </c>
      <c r="V1303" s="5">
        <v>44156</v>
      </c>
      <c r="W1303" s="5">
        <v>43727</v>
      </c>
      <c r="X1303" s="1">
        <v>1750000</v>
      </c>
      <c r="Y1303" s="1">
        <v>1195000</v>
      </c>
      <c r="Z1303" s="5">
        <v>44092</v>
      </c>
      <c r="AA1303" s="1">
        <v>1195000</v>
      </c>
      <c r="AB1303" s="1" t="s">
        <v>1123</v>
      </c>
      <c r="AC1303" s="5">
        <v>44154</v>
      </c>
      <c r="AF1303" s="1">
        <v>10026</v>
      </c>
      <c r="AI1303" s="1" t="s">
        <v>66</v>
      </c>
      <c r="AJ1303" s="1">
        <v>1920</v>
      </c>
      <c r="AL1303" s="1">
        <v>29</v>
      </c>
    </row>
    <row r="1304" spans="1:38" x14ac:dyDescent="0.2">
      <c r="A1304" s="2" t="str">
        <f>HYPERLINK("https://www.compass.com/listing/1890-adam-clayton-powell-jr-boulevard-unit-4a-manhattan-ny-10026/29429243905605473/","1890 Adam Clayton Powell Jr Blvd, Unit 4A")</f>
        <v>1890 Adam Clayton Powell Jr Blvd, Unit 4A</v>
      </c>
      <c r="B1304" s="2" t="str">
        <f t="shared" si="187"/>
        <v>The Strathmore</v>
      </c>
      <c r="C1304" s="1" t="s">
        <v>60</v>
      </c>
      <c r="D1304" s="1" t="s">
        <v>41</v>
      </c>
      <c r="E1304" s="3">
        <v>1225000</v>
      </c>
      <c r="F1304" s="1">
        <v>904.05904059040495</v>
      </c>
      <c r="G1304" s="1">
        <v>5</v>
      </c>
      <c r="H1304" s="1">
        <v>3</v>
      </c>
      <c r="I1304" s="1">
        <v>2</v>
      </c>
      <c r="J1304" s="1">
        <v>2</v>
      </c>
      <c r="K1304" s="1">
        <v>2</v>
      </c>
      <c r="M1304" s="4">
        <v>1355</v>
      </c>
      <c r="N1304" s="1">
        <v>785.42</v>
      </c>
      <c r="O1304" s="1">
        <v>1042.44999999999</v>
      </c>
      <c r="P1304" s="1">
        <v>257</v>
      </c>
      <c r="Q1304" s="1" t="s">
        <v>42</v>
      </c>
      <c r="S1304" s="1" t="s">
        <v>42</v>
      </c>
      <c r="T1304" s="1" t="s">
        <v>153</v>
      </c>
      <c r="U1304" s="1">
        <v>151</v>
      </c>
      <c r="V1304" s="5">
        <v>43669</v>
      </c>
      <c r="W1304" s="5">
        <v>42938</v>
      </c>
      <c r="X1304" s="1">
        <v>1359000</v>
      </c>
      <c r="Y1304" s="1">
        <v>1359000</v>
      </c>
      <c r="Z1304" s="5">
        <v>43089</v>
      </c>
      <c r="AA1304" s="1">
        <v>1225000</v>
      </c>
      <c r="AB1304" s="1" t="s">
        <v>1124</v>
      </c>
      <c r="AC1304" s="5">
        <v>43158</v>
      </c>
      <c r="AF1304" s="1">
        <v>10026</v>
      </c>
      <c r="AI1304" s="1" t="s">
        <v>1125</v>
      </c>
      <c r="AJ1304" s="1">
        <v>1920</v>
      </c>
      <c r="AL1304" s="1">
        <v>29</v>
      </c>
    </row>
    <row r="1305" spans="1:38" x14ac:dyDescent="0.2">
      <c r="A1305" s="2" t="str">
        <f>HYPERLINK("https://www.compass.com/listing/432-west-52nd-street-unit-3d-manhattan-ny-10019/4852319966537465073/","432 W 52nd St, Unit 3D")</f>
        <v>432 W 52nd St, Unit 3D</v>
      </c>
      <c r="B1305" s="2" t="str">
        <f t="shared" ref="B1305:B1306" si="188">HYPERLINK("https://www.compass.com/building/432-w-52nd-st-manhattan-ny-10019/292847238378489941/","432 W 52nd St")</f>
        <v>432 W 52nd St</v>
      </c>
      <c r="C1305" s="1" t="s">
        <v>67</v>
      </c>
      <c r="D1305" s="1" t="s">
        <v>41</v>
      </c>
      <c r="E1305" s="3">
        <v>1333907</v>
      </c>
      <c r="F1305" s="1">
        <v>1453.05773420479</v>
      </c>
      <c r="G1305" s="1">
        <v>3</v>
      </c>
      <c r="H1305" s="1">
        <v>2</v>
      </c>
      <c r="I1305" s="1">
        <v>2</v>
      </c>
      <c r="J1305" s="1">
        <v>2</v>
      </c>
      <c r="M1305" s="1">
        <v>918</v>
      </c>
      <c r="N1305" s="1">
        <v>1095</v>
      </c>
      <c r="O1305" s="1">
        <v>2330</v>
      </c>
      <c r="P1305" s="1">
        <v>1235</v>
      </c>
      <c r="Q1305" s="1" t="s">
        <v>42</v>
      </c>
      <c r="S1305" s="1" t="s">
        <v>42</v>
      </c>
      <c r="T1305" s="1" t="s">
        <v>153</v>
      </c>
      <c r="U1305" s="1">
        <v>135</v>
      </c>
      <c r="V1305" s="5">
        <v>43654</v>
      </c>
      <c r="W1305" s="5">
        <v>41954</v>
      </c>
      <c r="X1305" s="1">
        <v>1310000</v>
      </c>
      <c r="Y1305" s="1">
        <v>1310000</v>
      </c>
      <c r="Z1305" s="5">
        <v>42089</v>
      </c>
      <c r="AA1305" s="1">
        <v>1333907</v>
      </c>
      <c r="AB1305" s="1" t="s">
        <v>1126</v>
      </c>
      <c r="AC1305" s="5">
        <v>42185</v>
      </c>
      <c r="AF1305" s="1">
        <v>10019</v>
      </c>
      <c r="AI1305" s="1" t="s">
        <v>55</v>
      </c>
      <c r="AJ1305" s="1">
        <v>1950</v>
      </c>
      <c r="AK1305" s="1" t="s">
        <v>121</v>
      </c>
      <c r="AL1305" s="1">
        <v>55</v>
      </c>
    </row>
    <row r="1306" spans="1:38" x14ac:dyDescent="0.2">
      <c r="A1306" s="2" t="str">
        <f>HYPERLINK("https://www.compass.com/listing/432-west-52nd-street-unit-4d-manhattan-ny-10019/4852319971335733537/","432 W 52nd St, Unit 4D")</f>
        <v>432 W 52nd St, Unit 4D</v>
      </c>
      <c r="B1306" s="2" t="str">
        <f t="shared" si="188"/>
        <v>432 W 52nd St</v>
      </c>
      <c r="C1306" s="1" t="s">
        <v>67</v>
      </c>
      <c r="D1306" s="1" t="s">
        <v>41</v>
      </c>
      <c r="E1306" s="3">
        <v>1349181</v>
      </c>
      <c r="F1306" s="1">
        <v>1469.6960784313701</v>
      </c>
      <c r="G1306" s="1">
        <v>3</v>
      </c>
      <c r="H1306" s="1">
        <v>2</v>
      </c>
      <c r="I1306" s="1">
        <v>2</v>
      </c>
      <c r="J1306" s="1">
        <v>2</v>
      </c>
      <c r="M1306" s="1">
        <v>918</v>
      </c>
      <c r="N1306" s="1">
        <v>1095</v>
      </c>
      <c r="O1306" s="1">
        <v>2330</v>
      </c>
      <c r="P1306" s="1">
        <v>1235</v>
      </c>
      <c r="Q1306" s="1" t="s">
        <v>42</v>
      </c>
      <c r="S1306" s="1" t="s">
        <v>42</v>
      </c>
      <c r="T1306" s="1" t="s">
        <v>153</v>
      </c>
      <c r="U1306" s="1">
        <v>32</v>
      </c>
      <c r="V1306" s="5">
        <v>43654</v>
      </c>
      <c r="W1306" s="5">
        <v>41922</v>
      </c>
      <c r="X1306" s="1">
        <v>1325000</v>
      </c>
      <c r="Y1306" s="1">
        <v>1325000</v>
      </c>
      <c r="Z1306" s="5">
        <v>41954</v>
      </c>
      <c r="AA1306" s="1">
        <v>1349181</v>
      </c>
      <c r="AB1306" s="1" t="s">
        <v>1127</v>
      </c>
      <c r="AC1306" s="5">
        <v>42081</v>
      </c>
      <c r="AF1306" s="1">
        <v>10019</v>
      </c>
      <c r="AI1306" s="1" t="s">
        <v>55</v>
      </c>
      <c r="AJ1306" s="1">
        <v>1950</v>
      </c>
      <c r="AK1306" s="1" t="s">
        <v>121</v>
      </c>
      <c r="AL1306" s="1">
        <v>55</v>
      </c>
    </row>
    <row r="1307" spans="1:38" x14ac:dyDescent="0.2">
      <c r="A1307" s="2" t="str">
        <f>HYPERLINK("https://www.compass.com/listing/192-lenox-avenue-unit-pha-manhattan-ny-10026/192572574364886161/","192 Lenox Ave, Unit PHA")</f>
        <v>192 Lenox Ave, Unit PHA</v>
      </c>
      <c r="B1307" s="2" t="str">
        <f t="shared" ref="B1307:B1308" si="189">HYPERLINK("https://www.compass.com/building/192-lenox-ave-manhattan-ny-10026/281975082820136613/","192 Lenox Ave")</f>
        <v>192 Lenox Ave</v>
      </c>
      <c r="C1307" s="1" t="s">
        <v>60</v>
      </c>
      <c r="D1307" s="1" t="s">
        <v>41</v>
      </c>
      <c r="E1307" s="3">
        <v>739249</v>
      </c>
      <c r="F1307" s="1">
        <v>917.18238213399502</v>
      </c>
      <c r="G1307" s="1">
        <v>2</v>
      </c>
      <c r="H1307" s="1">
        <v>1</v>
      </c>
      <c r="I1307" s="1">
        <v>1</v>
      </c>
      <c r="J1307" s="1">
        <v>1</v>
      </c>
      <c r="M1307" s="1">
        <v>806</v>
      </c>
      <c r="N1307" s="1">
        <v>632</v>
      </c>
      <c r="O1307" s="1">
        <v>1350</v>
      </c>
      <c r="P1307" s="1">
        <v>718</v>
      </c>
      <c r="Q1307" s="1" t="s">
        <v>42</v>
      </c>
      <c r="S1307" s="1" t="s">
        <v>42</v>
      </c>
      <c r="T1307" s="1" t="s">
        <v>153</v>
      </c>
      <c r="U1307" s="1">
        <v>33</v>
      </c>
      <c r="V1307" s="5">
        <v>43693</v>
      </c>
      <c r="W1307" s="5">
        <v>42035</v>
      </c>
      <c r="X1307" s="1">
        <v>675000</v>
      </c>
      <c r="Y1307" s="1">
        <v>730000</v>
      </c>
      <c r="Z1307" s="5">
        <v>42068</v>
      </c>
      <c r="AA1307" s="1">
        <v>739249</v>
      </c>
      <c r="AB1307" s="1" t="s">
        <v>1128</v>
      </c>
      <c r="AC1307" s="5">
        <v>42363</v>
      </c>
      <c r="AF1307" s="1">
        <v>10026</v>
      </c>
      <c r="AI1307" s="1" t="s">
        <v>1041</v>
      </c>
      <c r="AJ1307" s="1">
        <v>1909</v>
      </c>
      <c r="AL1307" s="1">
        <v>6</v>
      </c>
    </row>
    <row r="1308" spans="1:38" x14ac:dyDescent="0.2">
      <c r="A1308" s="2" t="str">
        <f>HYPERLINK("https://www.compass.com/listing/192-lenox-avenue-unit-pha-manhattan-ny-10026/29428192880155505/","192 Lenox Ave, Unit PHA")</f>
        <v>192 Lenox Ave, Unit PHA</v>
      </c>
      <c r="B1308" s="2" t="str">
        <f t="shared" si="189"/>
        <v>192 Lenox Ave</v>
      </c>
      <c r="C1308" s="1" t="s">
        <v>60</v>
      </c>
      <c r="D1308" s="1" t="s">
        <v>41</v>
      </c>
      <c r="E1308" s="3">
        <v>739249</v>
      </c>
      <c r="F1308" s="1">
        <v>917.18238213399502</v>
      </c>
      <c r="G1308" s="1">
        <v>2</v>
      </c>
      <c r="H1308" s="1">
        <v>1</v>
      </c>
      <c r="I1308" s="1">
        <v>1</v>
      </c>
      <c r="M1308" s="1">
        <v>806</v>
      </c>
      <c r="N1308" s="1">
        <v>632</v>
      </c>
      <c r="O1308" s="1">
        <v>1350</v>
      </c>
      <c r="P1308" s="1">
        <v>718</v>
      </c>
      <c r="Q1308" s="1" t="s">
        <v>42</v>
      </c>
      <c r="S1308" s="1" t="s">
        <v>42</v>
      </c>
      <c r="T1308" s="1" t="s">
        <v>153</v>
      </c>
      <c r="U1308" s="1">
        <v>33</v>
      </c>
      <c r="V1308" s="5">
        <v>43693</v>
      </c>
      <c r="W1308" s="5">
        <v>42035</v>
      </c>
      <c r="X1308" s="1">
        <v>675000</v>
      </c>
      <c r="Y1308" s="1">
        <v>730000</v>
      </c>
      <c r="Z1308" s="5">
        <v>42068</v>
      </c>
      <c r="AA1308" s="1">
        <v>739249</v>
      </c>
      <c r="AB1308" s="1" t="s">
        <v>1128</v>
      </c>
      <c r="AC1308" s="5">
        <v>42363</v>
      </c>
      <c r="AF1308" s="1">
        <v>10026</v>
      </c>
      <c r="AI1308" s="1" t="s">
        <v>106</v>
      </c>
      <c r="AJ1308" s="1">
        <v>1909</v>
      </c>
      <c r="AL1308" s="1">
        <v>6</v>
      </c>
    </row>
    <row r="1309" spans="1:38" x14ac:dyDescent="0.2">
      <c r="A1309" s="2" t="str">
        <f>HYPERLINK("https://www.compass.com/listing/425-west-50th-street-unit-12f-manhattan-ny-10019/29389215372462529/","425 W 50th St, Unit 12F")</f>
        <v>425 W 50th St, Unit 12F</v>
      </c>
      <c r="B1309" s="2" t="str">
        <f t="shared" ref="B1309:B1310" si="190">HYPERLINK("https://www.compass.com/building/stella-tower-manhattan-ny/281945855710262181/","Stella Tower")</f>
        <v>Stella Tower</v>
      </c>
      <c r="C1309" s="1" t="s">
        <v>67</v>
      </c>
      <c r="D1309" s="1" t="s">
        <v>41</v>
      </c>
      <c r="E1309" s="3">
        <v>2100000</v>
      </c>
      <c r="F1309" s="1">
        <v>1909.0909090908999</v>
      </c>
      <c r="G1309" s="1">
        <v>3</v>
      </c>
      <c r="H1309" s="1">
        <v>1</v>
      </c>
      <c r="I1309" s="1">
        <v>2</v>
      </c>
      <c r="J1309" s="1">
        <v>1.5</v>
      </c>
      <c r="M1309" s="4">
        <v>1100</v>
      </c>
      <c r="N1309" s="1">
        <v>1245</v>
      </c>
      <c r="O1309" s="1">
        <v>2505</v>
      </c>
      <c r="P1309" s="1">
        <v>1260</v>
      </c>
      <c r="Q1309" s="1" t="s">
        <v>42</v>
      </c>
      <c r="S1309" s="1" t="s">
        <v>42</v>
      </c>
      <c r="T1309" s="1" t="s">
        <v>153</v>
      </c>
      <c r="U1309" s="1">
        <v>115</v>
      </c>
      <c r="V1309" s="5">
        <v>43673</v>
      </c>
      <c r="W1309" s="5">
        <v>42564</v>
      </c>
      <c r="X1309" s="1">
        <v>2350000</v>
      </c>
      <c r="Y1309" s="1">
        <v>2195000</v>
      </c>
      <c r="Z1309" s="5">
        <v>42679</v>
      </c>
      <c r="AA1309" s="1">
        <v>2100000</v>
      </c>
      <c r="AB1309" s="1" t="s">
        <v>1129</v>
      </c>
      <c r="AC1309" s="5">
        <v>42723</v>
      </c>
      <c r="AF1309" s="1">
        <v>10019</v>
      </c>
      <c r="AI1309" s="1" t="s">
        <v>45</v>
      </c>
      <c r="AJ1309" s="1">
        <v>1930</v>
      </c>
      <c r="AK1309" s="1" t="s">
        <v>46</v>
      </c>
      <c r="AL1309" s="1">
        <v>51</v>
      </c>
    </row>
    <row r="1310" spans="1:38" x14ac:dyDescent="0.2">
      <c r="A1310" s="2" t="str">
        <f>HYPERLINK("https://www.compass.com/listing/425-west-50th-street-unit-15a-manhattan-ny-10019/29389221420716593/","425 W 50th St, Unit 15A")</f>
        <v>425 W 50th St, Unit 15A</v>
      </c>
      <c r="B1310" s="2" t="str">
        <f t="shared" si="190"/>
        <v>Stella Tower</v>
      </c>
      <c r="C1310" s="1" t="s">
        <v>67</v>
      </c>
      <c r="D1310" s="1" t="s">
        <v>41</v>
      </c>
      <c r="E1310" s="3">
        <v>1985588</v>
      </c>
      <c r="F1310" s="1">
        <v>2558.7474226804102</v>
      </c>
      <c r="G1310" s="1">
        <v>1</v>
      </c>
      <c r="H1310" s="1">
        <v>1</v>
      </c>
      <c r="I1310" s="1">
        <v>1</v>
      </c>
      <c r="J1310" s="1">
        <v>1</v>
      </c>
      <c r="M1310" s="1">
        <v>776</v>
      </c>
      <c r="N1310" s="1">
        <v>905</v>
      </c>
      <c r="O1310" s="1">
        <v>1459</v>
      </c>
      <c r="P1310" s="1">
        <v>554</v>
      </c>
      <c r="Q1310" s="1" t="s">
        <v>42</v>
      </c>
      <c r="S1310" s="1" t="s">
        <v>42</v>
      </c>
      <c r="T1310" s="1" t="s">
        <v>153</v>
      </c>
      <c r="V1310" s="5">
        <v>43655</v>
      </c>
      <c r="W1310" s="5">
        <v>41976</v>
      </c>
      <c r="X1310" s="1">
        <v>1950000</v>
      </c>
      <c r="Y1310" s="1">
        <v>1950000</v>
      </c>
      <c r="Z1310" s="5">
        <v>41976</v>
      </c>
      <c r="AA1310" s="1">
        <v>1985588</v>
      </c>
      <c r="AB1310" s="1" t="s">
        <v>1130</v>
      </c>
      <c r="AC1310" s="5">
        <v>42019</v>
      </c>
      <c r="AF1310" s="1">
        <v>10019</v>
      </c>
      <c r="AI1310" s="1" t="s">
        <v>233</v>
      </c>
      <c r="AJ1310" s="1">
        <v>1930</v>
      </c>
      <c r="AK1310" s="1" t="s">
        <v>46</v>
      </c>
      <c r="AL1310" s="1">
        <v>51</v>
      </c>
    </row>
    <row r="1311" spans="1:38" x14ac:dyDescent="0.2">
      <c r="A1311" s="2" t="str">
        <f>HYPERLINK("https://www.compass.com/listing/1890-adam-clayton-powell-jr-boulevard-unit-5b-manhattan-ny-10026/29429246246027169/","1890 Adam Clayton Powell Jr Blvd, Unit 5B")</f>
        <v>1890 Adam Clayton Powell Jr Blvd, Unit 5B</v>
      </c>
      <c r="B1311" s="2" t="str">
        <f>HYPERLINK("https://www.compass.com/building/the-strathmore-manhattan-ny/815297250581742565/","The Strathmore")</f>
        <v>The Strathmore</v>
      </c>
      <c r="C1311" s="1" t="s">
        <v>60</v>
      </c>
      <c r="D1311" s="1" t="s">
        <v>41</v>
      </c>
      <c r="E1311" s="3">
        <v>952000</v>
      </c>
      <c r="F1311" s="1">
        <v>487.704918032786</v>
      </c>
      <c r="H1311" s="1">
        <v>3</v>
      </c>
      <c r="J1311" s="1">
        <v>2</v>
      </c>
      <c r="K1311" s="1">
        <v>2</v>
      </c>
      <c r="M1311" s="4">
        <v>1952</v>
      </c>
      <c r="N1311" s="1">
        <v>1</v>
      </c>
      <c r="O1311" s="1">
        <v>2</v>
      </c>
      <c r="P1311" s="1">
        <v>1</v>
      </c>
      <c r="Q1311" s="1" t="s">
        <v>42</v>
      </c>
      <c r="S1311" s="1" t="s">
        <v>42</v>
      </c>
      <c r="T1311" s="1" t="s">
        <v>153</v>
      </c>
      <c r="AA1311" s="1">
        <v>952000</v>
      </c>
      <c r="AB1311" s="1" t="s">
        <v>1131</v>
      </c>
      <c r="AC1311" s="5">
        <v>42123</v>
      </c>
      <c r="AF1311" s="1">
        <v>10026</v>
      </c>
      <c r="AJ1311" s="1">
        <v>1920</v>
      </c>
      <c r="AL1311" s="1">
        <v>29</v>
      </c>
    </row>
    <row r="1312" spans="1:38" x14ac:dyDescent="0.2">
      <c r="A1312" s="2" t="str">
        <f>HYPERLINK("https://www.compass.com/listing/432-west-52nd-street-unit-garden-g-manhattan-ny-10019/192570307461111105/","432 W 52nd St, Unit GARDEN/G")</f>
        <v>432 W 52nd St, Unit GARDEN/G</v>
      </c>
      <c r="B1312" s="2" t="str">
        <f t="shared" ref="B1312:B1313" si="191">HYPERLINK("https://www.compass.com/building/432-w-52nd-st-manhattan-ny-10019/292847238378489941/","432 W 52nd St")</f>
        <v>432 W 52nd St</v>
      </c>
      <c r="C1312" s="1" t="s">
        <v>67</v>
      </c>
      <c r="D1312" s="1" t="s">
        <v>41</v>
      </c>
      <c r="E1312" s="3">
        <v>995000</v>
      </c>
      <c r="F1312" s="1">
        <v>1264.29479034307</v>
      </c>
      <c r="G1312" s="1">
        <v>2</v>
      </c>
      <c r="H1312" s="1">
        <v>1</v>
      </c>
      <c r="I1312" s="1">
        <v>1</v>
      </c>
      <c r="J1312" s="1">
        <v>1</v>
      </c>
      <c r="M1312" s="1">
        <v>787</v>
      </c>
      <c r="N1312" s="1">
        <v>939</v>
      </c>
      <c r="O1312" s="1">
        <v>1998</v>
      </c>
      <c r="P1312" s="1">
        <v>1059</v>
      </c>
      <c r="Q1312" s="1" t="s">
        <v>42</v>
      </c>
      <c r="S1312" s="1" t="s">
        <v>42</v>
      </c>
      <c r="T1312" s="1" t="s">
        <v>153</v>
      </c>
      <c r="V1312" s="5">
        <v>42185</v>
      </c>
      <c r="W1312" s="5">
        <v>42090</v>
      </c>
      <c r="X1312" s="1">
        <v>995000</v>
      </c>
      <c r="Y1312" s="1">
        <v>995000</v>
      </c>
      <c r="Z1312" s="5">
        <v>42091</v>
      </c>
      <c r="AB1312" s="1" t="s">
        <v>177</v>
      </c>
      <c r="AC1312" s="5">
        <v>42185</v>
      </c>
      <c r="AF1312" s="1">
        <v>10019</v>
      </c>
      <c r="AI1312" s="1" t="s">
        <v>55</v>
      </c>
      <c r="AJ1312" s="1">
        <v>1950</v>
      </c>
      <c r="AK1312" s="1" t="s">
        <v>121</v>
      </c>
      <c r="AL1312" s="1">
        <v>55</v>
      </c>
    </row>
    <row r="1313" spans="1:38" x14ac:dyDescent="0.2">
      <c r="A1313" s="2" t="str">
        <f>HYPERLINK("https://www.compass.com/listing/432-west-52nd-street-unit-2d-manhattan-ny-10019/4852320365289944337/","432 W 52nd St, Unit 2D")</f>
        <v>432 W 52nd St, Unit 2D</v>
      </c>
      <c r="B1313" s="2" t="str">
        <f t="shared" si="191"/>
        <v>432 W 52nd St</v>
      </c>
      <c r="C1313" s="1" t="s">
        <v>67</v>
      </c>
      <c r="D1313" s="1" t="s">
        <v>41</v>
      </c>
      <c r="E1313" s="3">
        <v>1318759</v>
      </c>
      <c r="F1313" s="1">
        <v>1436.5566448801701</v>
      </c>
      <c r="G1313" s="1">
        <v>4</v>
      </c>
      <c r="H1313" s="1">
        <v>2</v>
      </c>
      <c r="I1313" s="1">
        <v>2</v>
      </c>
      <c r="J1313" s="1">
        <v>2</v>
      </c>
      <c r="M1313" s="1">
        <v>918</v>
      </c>
      <c r="N1313" s="1">
        <v>1095</v>
      </c>
      <c r="O1313" s="1">
        <v>2330</v>
      </c>
      <c r="P1313" s="1">
        <v>1235</v>
      </c>
      <c r="Q1313" s="1" t="s">
        <v>42</v>
      </c>
      <c r="S1313" s="1" t="s">
        <v>42</v>
      </c>
      <c r="T1313" s="1" t="s">
        <v>153</v>
      </c>
      <c r="V1313" s="5">
        <v>43654</v>
      </c>
      <c r="W1313" s="5">
        <v>41991</v>
      </c>
      <c r="X1313" s="1">
        <v>1295000</v>
      </c>
      <c r="Y1313" s="1">
        <v>1295000</v>
      </c>
      <c r="Z1313" s="5">
        <v>41991</v>
      </c>
      <c r="AA1313" s="1">
        <v>1318759</v>
      </c>
      <c r="AB1313" s="1" t="s">
        <v>1132</v>
      </c>
      <c r="AC1313" s="5">
        <v>42090</v>
      </c>
      <c r="AF1313" s="1">
        <v>10019</v>
      </c>
      <c r="AI1313" s="1" t="s">
        <v>55</v>
      </c>
      <c r="AJ1313" s="1">
        <v>1950</v>
      </c>
      <c r="AK1313" s="1" t="s">
        <v>121</v>
      </c>
      <c r="AL1313" s="1">
        <v>55</v>
      </c>
    </row>
    <row r="1314" spans="1:38" x14ac:dyDescent="0.2">
      <c r="A1314" s="2" t="str">
        <f>HYPERLINK("https://www.compass.com/listing/120-west-118th-street-unit-ph5-manhattan-ny-10026/29515204681331057/","120 W 118th St, Unit PH5")</f>
        <v>120 W 118th St, Unit PH5</v>
      </c>
      <c r="B1314" s="2" t="str">
        <f>HYPERLINK("https://www.compass.com/building/120-w-118th-st-manhattan-ny-10026/281974302755086805/","120 W 118th St")</f>
        <v>120 W 118th St</v>
      </c>
      <c r="C1314" s="1" t="s">
        <v>60</v>
      </c>
      <c r="D1314" s="1" t="s">
        <v>41</v>
      </c>
      <c r="E1314" s="3">
        <v>1190768</v>
      </c>
      <c r="G1314" s="1">
        <v>4</v>
      </c>
      <c r="H1314" s="1">
        <v>2</v>
      </c>
      <c r="I1314" s="1">
        <v>3</v>
      </c>
      <c r="J1314" s="1">
        <v>2.5</v>
      </c>
      <c r="K1314" s="1">
        <v>2</v>
      </c>
      <c r="L1314" s="1">
        <v>1</v>
      </c>
      <c r="N1314" s="1">
        <v>209</v>
      </c>
      <c r="O1314" s="1">
        <v>737</v>
      </c>
      <c r="P1314" s="1">
        <v>528</v>
      </c>
      <c r="Q1314" s="1" t="s">
        <v>42</v>
      </c>
      <c r="S1314" s="1" t="s">
        <v>42</v>
      </c>
      <c r="T1314" s="1" t="s">
        <v>153</v>
      </c>
      <c r="U1314" s="1">
        <v>34</v>
      </c>
      <c r="V1314" s="5">
        <v>43648</v>
      </c>
      <c r="W1314" s="5">
        <v>43118</v>
      </c>
      <c r="X1314" s="1">
        <v>1180000</v>
      </c>
      <c r="Y1314" s="1">
        <v>1180000</v>
      </c>
      <c r="Z1314" s="5">
        <v>43368</v>
      </c>
      <c r="AA1314" s="1">
        <v>1190767.5</v>
      </c>
      <c r="AB1314" s="1" t="s">
        <v>1133</v>
      </c>
      <c r="AC1314" s="5">
        <v>43496</v>
      </c>
      <c r="AF1314" s="1">
        <v>10026</v>
      </c>
      <c r="AI1314" s="1" t="s">
        <v>75</v>
      </c>
      <c r="AJ1314" s="1">
        <v>1910</v>
      </c>
      <c r="AL1314" s="1">
        <v>30</v>
      </c>
    </row>
    <row r="1315" spans="1:38" x14ac:dyDescent="0.2">
      <c r="A1315" s="2" t="str">
        <f>HYPERLINK("https://www.compass.com/listing/425-west-50th-street-unit-10e-manhattan-ny-10019/769699880760890841/","425 W 50th St, Unit 10E")</f>
        <v>425 W 50th St, Unit 10E</v>
      </c>
      <c r="B1315" s="2" t="str">
        <f t="shared" ref="B1315:B1317" si="192">HYPERLINK("https://www.compass.com/building/stella-tower-manhattan-ny/281945855710262181/","Stella Tower")</f>
        <v>Stella Tower</v>
      </c>
      <c r="C1315" s="1" t="s">
        <v>67</v>
      </c>
      <c r="D1315" s="1" t="s">
        <v>41</v>
      </c>
      <c r="E1315" s="3">
        <v>2950000</v>
      </c>
      <c r="F1315" s="1">
        <v>1949.7686715135401</v>
      </c>
      <c r="G1315" s="1">
        <v>4</v>
      </c>
      <c r="H1315" s="1">
        <v>1</v>
      </c>
      <c r="I1315" s="1">
        <v>2</v>
      </c>
      <c r="J1315" s="1">
        <v>2</v>
      </c>
      <c r="K1315" s="1">
        <v>2</v>
      </c>
      <c r="M1315" s="4">
        <v>1513</v>
      </c>
      <c r="N1315" s="1">
        <v>2048</v>
      </c>
      <c r="O1315" s="1">
        <v>3961</v>
      </c>
      <c r="P1315" s="1">
        <v>1913</v>
      </c>
      <c r="Q1315" s="1" t="s">
        <v>42</v>
      </c>
      <c r="S1315" s="1" t="s">
        <v>42</v>
      </c>
      <c r="T1315" s="1" t="s">
        <v>153</v>
      </c>
      <c r="U1315" s="1">
        <v>17</v>
      </c>
      <c r="V1315" s="5">
        <v>44369</v>
      </c>
      <c r="W1315" s="5">
        <v>44313</v>
      </c>
      <c r="X1315" s="1">
        <v>2999000</v>
      </c>
      <c r="Y1315" s="1">
        <v>2999000</v>
      </c>
      <c r="Z1315" s="5">
        <v>44331</v>
      </c>
      <c r="AA1315" s="1">
        <v>2950000</v>
      </c>
      <c r="AB1315" s="1" t="s">
        <v>1134</v>
      </c>
      <c r="AC1315" s="5">
        <v>44368</v>
      </c>
      <c r="AF1315" s="1">
        <v>10019</v>
      </c>
      <c r="AI1315" s="1" t="s">
        <v>45</v>
      </c>
      <c r="AJ1315" s="1">
        <v>1930</v>
      </c>
      <c r="AK1315" s="1" t="s">
        <v>46</v>
      </c>
      <c r="AL1315" s="1">
        <v>51</v>
      </c>
    </row>
    <row r="1316" spans="1:38" x14ac:dyDescent="0.2">
      <c r="A1316" s="2" t="str">
        <f>HYPERLINK("https://www.compass.com/listing/425-west-50th-street-unit-14a-manhattan-ny-10019/29389218140770753/","425 W 50th St, Unit 14A")</f>
        <v>425 W 50th St, Unit 14A</v>
      </c>
      <c r="B1316" s="2" t="str">
        <f t="shared" si="192"/>
        <v>Stella Tower</v>
      </c>
      <c r="C1316" s="1" t="s">
        <v>67</v>
      </c>
      <c r="D1316" s="1" t="s">
        <v>41</v>
      </c>
      <c r="E1316" s="3">
        <v>2240150</v>
      </c>
      <c r="F1316" s="1">
        <v>2258.2157258064499</v>
      </c>
      <c r="G1316" s="1">
        <v>3</v>
      </c>
      <c r="H1316" s="1">
        <v>1</v>
      </c>
      <c r="I1316" s="1">
        <v>1</v>
      </c>
      <c r="J1316" s="1">
        <v>1</v>
      </c>
      <c r="M1316" s="1">
        <v>992</v>
      </c>
      <c r="N1316" s="1">
        <v>1236</v>
      </c>
      <c r="O1316" s="1">
        <v>1993</v>
      </c>
      <c r="P1316" s="1">
        <v>757</v>
      </c>
      <c r="Q1316" s="1" t="s">
        <v>42</v>
      </c>
      <c r="S1316" s="1" t="s">
        <v>42</v>
      </c>
      <c r="T1316" s="1" t="s">
        <v>153</v>
      </c>
      <c r="V1316" s="5">
        <v>43655</v>
      </c>
      <c r="W1316" s="5">
        <v>41976</v>
      </c>
      <c r="X1316" s="1">
        <v>2200000</v>
      </c>
      <c r="Y1316" s="1">
        <v>2200000</v>
      </c>
      <c r="Z1316" s="5">
        <v>41976</v>
      </c>
      <c r="AA1316" s="1">
        <v>2240150</v>
      </c>
      <c r="AB1316" s="1" t="s">
        <v>1135</v>
      </c>
      <c r="AC1316" s="5">
        <v>42039</v>
      </c>
      <c r="AF1316" s="1">
        <v>10019</v>
      </c>
      <c r="AI1316" s="1" t="s">
        <v>428</v>
      </c>
      <c r="AJ1316" s="1">
        <v>1930</v>
      </c>
      <c r="AK1316" s="1" t="s">
        <v>46</v>
      </c>
      <c r="AL1316" s="1">
        <v>51</v>
      </c>
    </row>
    <row r="1317" spans="1:38" x14ac:dyDescent="0.2">
      <c r="A1317" s="2" t="str">
        <f>HYPERLINK("https://www.compass.com/listing/425-west-50th-street-unit-12d-manhattan-ny-10019/29389213266989361/","425 W 50th St, Unit 12D")</f>
        <v>425 W 50th St, Unit 12D</v>
      </c>
      <c r="B1317" s="2" t="str">
        <f t="shared" si="192"/>
        <v>Stella Tower</v>
      </c>
      <c r="C1317" s="1" t="s">
        <v>67</v>
      </c>
      <c r="D1317" s="1" t="s">
        <v>41</v>
      </c>
      <c r="E1317" s="3">
        <v>1725000</v>
      </c>
      <c r="F1317" s="1">
        <v>1691.1764705882299</v>
      </c>
      <c r="G1317" s="1">
        <v>3</v>
      </c>
      <c r="H1317" s="1">
        <v>1</v>
      </c>
      <c r="I1317" s="1">
        <v>1</v>
      </c>
      <c r="J1317" s="1">
        <v>1.5</v>
      </c>
      <c r="K1317" s="1">
        <v>1</v>
      </c>
      <c r="L1317" s="1">
        <v>1</v>
      </c>
      <c r="M1317" s="4">
        <v>1020</v>
      </c>
      <c r="N1317" s="1">
        <v>1155</v>
      </c>
      <c r="O1317" s="1">
        <v>2227</v>
      </c>
      <c r="P1317" s="1">
        <v>1072</v>
      </c>
      <c r="Q1317" s="1" t="s">
        <v>42</v>
      </c>
      <c r="S1317" s="1" t="s">
        <v>42</v>
      </c>
      <c r="T1317" s="1" t="s">
        <v>153</v>
      </c>
      <c r="U1317" s="1">
        <v>242</v>
      </c>
      <c r="V1317" s="5">
        <v>43649</v>
      </c>
      <c r="W1317" s="5">
        <v>42951</v>
      </c>
      <c r="X1317" s="1">
        <v>1925000</v>
      </c>
      <c r="Y1317" s="1">
        <v>1825000</v>
      </c>
      <c r="Z1317" s="5">
        <v>43193</v>
      </c>
      <c r="AA1317" s="1">
        <v>1725000</v>
      </c>
      <c r="AB1317" s="1" t="s">
        <v>1136</v>
      </c>
      <c r="AC1317" s="5">
        <v>43245</v>
      </c>
      <c r="AF1317" s="1">
        <v>10019</v>
      </c>
      <c r="AI1317" s="1" t="s">
        <v>45</v>
      </c>
      <c r="AJ1317" s="1">
        <v>1930</v>
      </c>
      <c r="AK1317" s="1" t="s">
        <v>46</v>
      </c>
      <c r="AL1317" s="1">
        <v>51</v>
      </c>
    </row>
    <row r="1318" spans="1:38" x14ac:dyDescent="0.2">
      <c r="A1318" s="2" t="str">
        <f>HYPERLINK("https://www.compass.com/listing/432-west-52nd-street-unit-5d-manhattan-ny-10019/4852270380905140497/","432 W 52nd St, Unit 5D")</f>
        <v>432 W 52nd St, Unit 5D</v>
      </c>
      <c r="B1318" s="2" t="str">
        <f>HYPERLINK("https://www.compass.com/building/432-w-52nd-st-manhattan-ny-10019/292847238378489941/","432 W 52nd St")</f>
        <v>432 W 52nd St</v>
      </c>
      <c r="C1318" s="1" t="s">
        <v>67</v>
      </c>
      <c r="D1318" s="1" t="s">
        <v>41</v>
      </c>
      <c r="E1318" s="3">
        <v>1375000</v>
      </c>
      <c r="F1318" s="1">
        <v>1497.8213507625201</v>
      </c>
      <c r="G1318" s="1">
        <v>3</v>
      </c>
      <c r="H1318" s="1">
        <v>2</v>
      </c>
      <c r="I1318" s="1">
        <v>2</v>
      </c>
      <c r="J1318" s="1">
        <v>2</v>
      </c>
      <c r="M1318" s="1">
        <v>918</v>
      </c>
      <c r="N1318" s="1">
        <v>1095</v>
      </c>
      <c r="O1318" s="1">
        <v>2330</v>
      </c>
      <c r="P1318" s="1">
        <v>1235</v>
      </c>
      <c r="Q1318" s="1" t="s">
        <v>42</v>
      </c>
      <c r="S1318" s="1" t="s">
        <v>42</v>
      </c>
      <c r="T1318" s="1" t="s">
        <v>153</v>
      </c>
      <c r="U1318" s="1">
        <v>70</v>
      </c>
      <c r="V1318" s="5">
        <v>43651</v>
      </c>
      <c r="W1318" s="5">
        <v>42089</v>
      </c>
      <c r="X1318" s="1">
        <v>1375000</v>
      </c>
      <c r="Y1318" s="1">
        <v>1375000</v>
      </c>
      <c r="Z1318" s="5">
        <v>42159</v>
      </c>
      <c r="AA1318" s="1">
        <v>1375000</v>
      </c>
      <c r="AB1318" s="1" t="s">
        <v>1137</v>
      </c>
      <c r="AC1318" s="5">
        <v>42215</v>
      </c>
      <c r="AF1318" s="1">
        <v>10019</v>
      </c>
      <c r="AI1318" s="1" t="s">
        <v>55</v>
      </c>
      <c r="AJ1318" s="1">
        <v>1950</v>
      </c>
      <c r="AK1318" s="1" t="s">
        <v>121</v>
      </c>
      <c r="AL1318" s="1">
        <v>55</v>
      </c>
    </row>
    <row r="1319" spans="1:38" x14ac:dyDescent="0.2">
      <c r="A1319" s="2" t="str">
        <f>HYPERLINK("https://www.compass.com/listing/425-west-50th-street-unit-11c-manhattan-ny-10019/29389207604668737/","425 W 50th St, Unit 11C")</f>
        <v>425 W 50th St, Unit 11C</v>
      </c>
      <c r="B1319" s="2" t="str">
        <f t="shared" ref="B1319:B1332" si="193">HYPERLINK("https://www.compass.com/building/stella-tower-manhattan-ny/281945855710262181/","Stella Tower")</f>
        <v>Stella Tower</v>
      </c>
      <c r="C1319" s="1" t="s">
        <v>67</v>
      </c>
      <c r="D1319" s="1" t="s">
        <v>41</v>
      </c>
      <c r="E1319" s="3">
        <v>2545625</v>
      </c>
      <c r="F1319" s="1">
        <v>2072.9845276872902</v>
      </c>
      <c r="G1319" s="1">
        <v>3</v>
      </c>
      <c r="H1319" s="1">
        <v>1</v>
      </c>
      <c r="I1319" s="1">
        <v>2</v>
      </c>
      <c r="J1319" s="1">
        <v>2</v>
      </c>
      <c r="M1319" s="4">
        <v>1228</v>
      </c>
      <c r="N1319" s="1">
        <v>1388</v>
      </c>
      <c r="O1319" s="1">
        <v>2238</v>
      </c>
      <c r="P1319" s="1">
        <v>850</v>
      </c>
      <c r="Q1319" s="1" t="s">
        <v>42</v>
      </c>
      <c r="S1319" s="1" t="s">
        <v>42</v>
      </c>
      <c r="T1319" s="1" t="s">
        <v>153</v>
      </c>
      <c r="V1319" s="5">
        <v>43654</v>
      </c>
      <c r="W1319" s="5">
        <v>41976</v>
      </c>
      <c r="X1319" s="1">
        <v>2500000</v>
      </c>
      <c r="Y1319" s="1">
        <v>2500000</v>
      </c>
      <c r="Z1319" s="5">
        <v>41976</v>
      </c>
      <c r="AA1319" s="1">
        <v>2545625</v>
      </c>
      <c r="AB1319" s="1" t="s">
        <v>1138</v>
      </c>
      <c r="AC1319" s="5">
        <v>42012</v>
      </c>
      <c r="AF1319" s="1">
        <v>10019</v>
      </c>
      <c r="AI1319" s="1" t="s">
        <v>45</v>
      </c>
      <c r="AJ1319" s="1">
        <v>1930</v>
      </c>
      <c r="AK1319" s="1" t="s">
        <v>46</v>
      </c>
      <c r="AL1319" s="1">
        <v>51</v>
      </c>
    </row>
    <row r="1320" spans="1:38" x14ac:dyDescent="0.2">
      <c r="A1320" s="2" t="str">
        <f>HYPERLINK("https://www.compass.com/listing/425-west-50th-street-unit-10d-manhattan-ny-10019/29389204156960881/","425 W 50th St, Unit 10D")</f>
        <v>425 W 50th St, Unit 10D</v>
      </c>
      <c r="B1320" s="2" t="str">
        <f t="shared" si="193"/>
        <v>Stella Tower</v>
      </c>
      <c r="C1320" s="1" t="s">
        <v>67</v>
      </c>
      <c r="D1320" s="1" t="s">
        <v>41</v>
      </c>
      <c r="E1320" s="3">
        <v>1934675</v>
      </c>
      <c r="F1320" s="1">
        <v>1670.70379965457</v>
      </c>
      <c r="G1320" s="1">
        <v>4</v>
      </c>
      <c r="H1320" s="1">
        <v>1</v>
      </c>
      <c r="I1320" s="1">
        <v>2</v>
      </c>
      <c r="J1320" s="1">
        <v>1.5</v>
      </c>
      <c r="M1320" s="4">
        <v>1158</v>
      </c>
      <c r="N1320" s="1">
        <v>1308</v>
      </c>
      <c r="O1320" s="1">
        <v>2109</v>
      </c>
      <c r="P1320" s="1">
        <v>801</v>
      </c>
      <c r="Q1320" s="1" t="s">
        <v>42</v>
      </c>
      <c r="S1320" s="1" t="s">
        <v>42</v>
      </c>
      <c r="T1320" s="1" t="s">
        <v>153</v>
      </c>
      <c r="V1320" s="5">
        <v>43655</v>
      </c>
      <c r="W1320" s="5">
        <v>41976</v>
      </c>
      <c r="X1320" s="1">
        <v>1900000</v>
      </c>
      <c r="Y1320" s="1">
        <v>1900000</v>
      </c>
      <c r="Z1320" s="5">
        <v>41976</v>
      </c>
      <c r="AA1320" s="1">
        <v>1934675</v>
      </c>
      <c r="AB1320" s="1" t="s">
        <v>1139</v>
      </c>
      <c r="AC1320" s="5">
        <v>42024</v>
      </c>
      <c r="AF1320" s="1">
        <v>10019</v>
      </c>
      <c r="AI1320" s="1" t="s">
        <v>45</v>
      </c>
      <c r="AJ1320" s="1">
        <v>1930</v>
      </c>
      <c r="AK1320" s="1" t="s">
        <v>46</v>
      </c>
      <c r="AL1320" s="1">
        <v>51</v>
      </c>
    </row>
    <row r="1321" spans="1:38" x14ac:dyDescent="0.2">
      <c r="A1321" s="2" t="str">
        <f>HYPERLINK("https://www.compass.com/listing/425-west-50th-street-unit-10d-manhattan-ny-10019/29389204156960897/","425 W 50th St, Unit 10D")</f>
        <v>425 W 50th St, Unit 10D</v>
      </c>
      <c r="B1321" s="2" t="str">
        <f t="shared" si="193"/>
        <v>Stella Tower</v>
      </c>
      <c r="C1321" s="1" t="s">
        <v>67</v>
      </c>
      <c r="D1321" s="1" t="s">
        <v>41</v>
      </c>
      <c r="E1321" s="3">
        <v>2500000</v>
      </c>
      <c r="F1321" s="1">
        <v>2158.89464594127</v>
      </c>
      <c r="G1321" s="1">
        <v>4</v>
      </c>
      <c r="H1321" s="1">
        <v>1</v>
      </c>
      <c r="I1321" s="1">
        <v>2</v>
      </c>
      <c r="J1321" s="1">
        <v>1.5</v>
      </c>
      <c r="M1321" s="4">
        <v>1158</v>
      </c>
      <c r="N1321" s="1">
        <v>1308</v>
      </c>
      <c r="O1321" s="1">
        <v>2109</v>
      </c>
      <c r="P1321" s="1">
        <v>801</v>
      </c>
      <c r="Q1321" s="1" t="s">
        <v>42</v>
      </c>
      <c r="S1321" s="1" t="s">
        <v>42</v>
      </c>
      <c r="T1321" s="1" t="s">
        <v>153</v>
      </c>
      <c r="V1321" s="5">
        <v>43675</v>
      </c>
      <c r="W1321" s="5">
        <v>42532</v>
      </c>
      <c r="X1321" s="1">
        <v>2500000</v>
      </c>
      <c r="Y1321" s="1">
        <v>2500000</v>
      </c>
      <c r="Z1321" s="5">
        <v>42532</v>
      </c>
      <c r="AA1321" s="1">
        <v>2500000</v>
      </c>
      <c r="AB1321" s="1" t="s">
        <v>1140</v>
      </c>
      <c r="AC1321" s="5">
        <v>42566</v>
      </c>
      <c r="AF1321" s="1">
        <v>10019</v>
      </c>
      <c r="AI1321" s="1" t="s">
        <v>45</v>
      </c>
      <c r="AJ1321" s="1">
        <v>1930</v>
      </c>
      <c r="AK1321" s="1" t="s">
        <v>46</v>
      </c>
      <c r="AL1321" s="1">
        <v>51</v>
      </c>
    </row>
    <row r="1322" spans="1:38" x14ac:dyDescent="0.2">
      <c r="A1322" s="2" t="str">
        <f>HYPERLINK("https://www.compass.com/listing/425-west-50th-street-unit-11j-manhattan-ny-10019/29389210825904385/","425 W 50th St, Unit 11J")</f>
        <v>425 W 50th St, Unit 11J</v>
      </c>
      <c r="B1322" s="2" t="str">
        <f t="shared" si="193"/>
        <v>Stella Tower</v>
      </c>
      <c r="C1322" s="1" t="s">
        <v>67</v>
      </c>
      <c r="D1322" s="1" t="s">
        <v>41</v>
      </c>
      <c r="E1322" s="3">
        <v>1985588</v>
      </c>
      <c r="F1322" s="1">
        <v>1618.24572127139</v>
      </c>
      <c r="G1322" s="1">
        <v>3</v>
      </c>
      <c r="H1322" s="1">
        <v>1</v>
      </c>
      <c r="I1322" s="1">
        <v>1</v>
      </c>
      <c r="J1322" s="1">
        <v>1</v>
      </c>
      <c r="M1322" s="4">
        <v>1227</v>
      </c>
      <c r="N1322" s="1">
        <v>1388</v>
      </c>
      <c r="O1322" s="1">
        <v>2238</v>
      </c>
      <c r="P1322" s="1">
        <v>850</v>
      </c>
      <c r="Q1322" s="1" t="s">
        <v>42</v>
      </c>
      <c r="S1322" s="1" t="s">
        <v>42</v>
      </c>
      <c r="T1322" s="1" t="s">
        <v>153</v>
      </c>
      <c r="U1322" s="1">
        <v>132</v>
      </c>
      <c r="V1322" s="5">
        <v>42035</v>
      </c>
      <c r="W1322" s="5">
        <v>41859</v>
      </c>
      <c r="X1322" s="1">
        <v>1950000</v>
      </c>
      <c r="Y1322" s="1">
        <v>1950000</v>
      </c>
      <c r="AA1322" s="1">
        <v>1985587.5</v>
      </c>
      <c r="AB1322" s="1" t="s">
        <v>1141</v>
      </c>
      <c r="AC1322" s="5">
        <v>41991</v>
      </c>
      <c r="AF1322" s="1">
        <v>10019</v>
      </c>
      <c r="AI1322" s="1" t="s">
        <v>45</v>
      </c>
      <c r="AJ1322" s="1">
        <v>1930</v>
      </c>
      <c r="AK1322" s="1" t="s">
        <v>46</v>
      </c>
      <c r="AL1322" s="1">
        <v>51</v>
      </c>
    </row>
    <row r="1323" spans="1:38" x14ac:dyDescent="0.2">
      <c r="A1323" s="2" t="str">
        <f>HYPERLINK("https://www.compass.com/listing/425-west-50th-street-unit-10e-manhattan-ny-10019/29389204928702721/","425 W 50th St, Unit 10E")</f>
        <v>425 W 50th St, Unit 10E</v>
      </c>
      <c r="B1323" s="2" t="str">
        <f t="shared" si="193"/>
        <v>Stella Tower</v>
      </c>
      <c r="C1323" s="1" t="s">
        <v>67</v>
      </c>
      <c r="D1323" s="1" t="s">
        <v>41</v>
      </c>
      <c r="E1323" s="3">
        <v>2851100</v>
      </c>
      <c r="F1323" s="1">
        <v>1884.4018506278901</v>
      </c>
      <c r="G1323" s="1">
        <v>3</v>
      </c>
      <c r="H1323" s="1">
        <v>1</v>
      </c>
      <c r="I1323" s="1">
        <v>2</v>
      </c>
      <c r="J1323" s="1">
        <v>2</v>
      </c>
      <c r="K1323" s="1">
        <v>2</v>
      </c>
      <c r="M1323" s="4">
        <v>1513</v>
      </c>
      <c r="N1323" s="1">
        <v>1709</v>
      </c>
      <c r="O1323" s="1">
        <v>2756</v>
      </c>
      <c r="P1323" s="1">
        <v>1047</v>
      </c>
      <c r="Q1323" s="1" t="s">
        <v>42</v>
      </c>
      <c r="S1323" s="1" t="s">
        <v>42</v>
      </c>
      <c r="T1323" s="1" t="s">
        <v>153</v>
      </c>
      <c r="U1323" s="1">
        <v>214</v>
      </c>
      <c r="V1323" s="5">
        <v>44340</v>
      </c>
      <c r="W1323" s="5">
        <v>41859</v>
      </c>
      <c r="X1323" s="1">
        <v>2800000</v>
      </c>
      <c r="Y1323" s="1">
        <v>2800000</v>
      </c>
      <c r="Z1323" s="5">
        <v>42074</v>
      </c>
      <c r="AA1323" s="1">
        <v>2851100</v>
      </c>
      <c r="AB1323" s="1" t="s">
        <v>1142</v>
      </c>
      <c r="AC1323" s="5">
        <v>42073</v>
      </c>
      <c r="AF1323" s="1">
        <v>10019</v>
      </c>
      <c r="AI1323" s="1" t="s">
        <v>45</v>
      </c>
      <c r="AJ1323" s="1">
        <v>1930</v>
      </c>
      <c r="AK1323" s="1" t="s">
        <v>46</v>
      </c>
      <c r="AL1323" s="1">
        <v>51</v>
      </c>
    </row>
    <row r="1324" spans="1:38" x14ac:dyDescent="0.2">
      <c r="A1324" s="2" t="str">
        <f>HYPERLINK("https://www.compass.com/listing/425-west-50th-street-unit-11h-manhattan-ny-10019/192575170764876673/","425 W 50th St, Unit 11H")</f>
        <v>425 W 50th St, Unit 11H</v>
      </c>
      <c r="B1324" s="2" t="str">
        <f t="shared" si="193"/>
        <v>Stella Tower</v>
      </c>
      <c r="C1324" s="1" t="s">
        <v>67</v>
      </c>
      <c r="D1324" s="1" t="s">
        <v>41</v>
      </c>
      <c r="E1324" s="3">
        <v>1832850</v>
      </c>
      <c r="F1324" s="1">
        <v>1962.3661670235499</v>
      </c>
      <c r="G1324" s="1">
        <v>3</v>
      </c>
      <c r="H1324" s="1">
        <v>1</v>
      </c>
      <c r="I1324" s="1">
        <v>1</v>
      </c>
      <c r="J1324" s="1">
        <v>1</v>
      </c>
      <c r="M1324" s="1">
        <v>934</v>
      </c>
      <c r="N1324" s="1">
        <v>1056</v>
      </c>
      <c r="O1324" s="1">
        <v>1703</v>
      </c>
      <c r="P1324" s="1">
        <v>647</v>
      </c>
      <c r="Q1324" s="1" t="s">
        <v>42</v>
      </c>
      <c r="S1324" s="1" t="s">
        <v>42</v>
      </c>
      <c r="T1324" s="1" t="s">
        <v>153</v>
      </c>
      <c r="V1324" s="5">
        <v>43654</v>
      </c>
      <c r="W1324" s="5">
        <v>41976</v>
      </c>
      <c r="X1324" s="1">
        <v>1800000</v>
      </c>
      <c r="Y1324" s="1">
        <v>1800000</v>
      </c>
      <c r="Z1324" s="5">
        <v>41976</v>
      </c>
      <c r="AA1324" s="1">
        <v>1832850</v>
      </c>
      <c r="AB1324" s="1" t="s">
        <v>1143</v>
      </c>
      <c r="AC1324" s="5">
        <v>41991</v>
      </c>
      <c r="AF1324" s="1">
        <v>10019</v>
      </c>
      <c r="AI1324" s="1" t="s">
        <v>45</v>
      </c>
      <c r="AJ1324" s="1">
        <v>1930</v>
      </c>
      <c r="AK1324" s="1" t="s">
        <v>46</v>
      </c>
      <c r="AL1324" s="1">
        <v>51</v>
      </c>
    </row>
    <row r="1325" spans="1:38" x14ac:dyDescent="0.2">
      <c r="A1325" s="2" t="str">
        <f>HYPERLINK("https://www.compass.com/listing/425-west-50th-street-unit-11c-manhattan-ny-10019/29389207604668721/","425 W 50th St, Unit 11C")</f>
        <v>425 W 50th St, Unit 11C</v>
      </c>
      <c r="B1325" s="2" t="str">
        <f t="shared" si="193"/>
        <v>Stella Tower</v>
      </c>
      <c r="C1325" s="1" t="s">
        <v>67</v>
      </c>
      <c r="D1325" s="1" t="s">
        <v>41</v>
      </c>
      <c r="E1325" s="3">
        <v>2300000</v>
      </c>
      <c r="F1325" s="1">
        <v>1872.9641693811</v>
      </c>
      <c r="G1325" s="1">
        <v>4</v>
      </c>
      <c r="H1325" s="1">
        <v>1</v>
      </c>
      <c r="I1325" s="1">
        <v>2</v>
      </c>
      <c r="J1325" s="1">
        <v>2</v>
      </c>
      <c r="K1325" s="1">
        <v>2</v>
      </c>
      <c r="M1325" s="4">
        <v>1228</v>
      </c>
      <c r="N1325" s="1">
        <v>1388</v>
      </c>
      <c r="O1325" s="1">
        <v>2943</v>
      </c>
      <c r="P1325" s="1">
        <v>1555</v>
      </c>
      <c r="Q1325" s="1" t="s">
        <v>42</v>
      </c>
      <c r="S1325" s="1" t="s">
        <v>42</v>
      </c>
      <c r="T1325" s="1" t="s">
        <v>153</v>
      </c>
      <c r="V1325" s="5">
        <v>44064</v>
      </c>
      <c r="W1325" s="5">
        <v>42957</v>
      </c>
      <c r="X1325" s="1">
        <v>2300000</v>
      </c>
      <c r="Y1325" s="1">
        <v>2300000</v>
      </c>
      <c r="Z1325" s="5">
        <v>42957</v>
      </c>
      <c r="AA1325" s="1">
        <v>2300000</v>
      </c>
      <c r="AB1325" s="1" t="s">
        <v>1144</v>
      </c>
      <c r="AC1325" s="5">
        <v>43193</v>
      </c>
      <c r="AF1325" s="1">
        <v>10019</v>
      </c>
      <c r="AI1325" s="1" t="s">
        <v>45</v>
      </c>
      <c r="AJ1325" s="1">
        <v>1930</v>
      </c>
      <c r="AK1325" s="1" t="s">
        <v>46</v>
      </c>
      <c r="AL1325" s="1">
        <v>51</v>
      </c>
    </row>
    <row r="1326" spans="1:38" x14ac:dyDescent="0.2">
      <c r="A1326" s="2" t="str">
        <f>HYPERLINK("https://www.compass.com/listing/425-west-50th-street-unit-12e-manhattan-ny-10019/29389214189726145/","425 W 50th St, Unit 12E")</f>
        <v>425 W 50th St, Unit 12E</v>
      </c>
      <c r="B1326" s="2" t="str">
        <f t="shared" si="193"/>
        <v>Stella Tower</v>
      </c>
      <c r="C1326" s="1" t="s">
        <v>67</v>
      </c>
      <c r="D1326" s="1" t="s">
        <v>41</v>
      </c>
      <c r="E1326" s="3">
        <v>1725934</v>
      </c>
      <c r="F1326" s="1">
        <v>1224.0664893617</v>
      </c>
      <c r="G1326" s="1">
        <v>3</v>
      </c>
      <c r="H1326" s="1">
        <v>1</v>
      </c>
      <c r="I1326" s="1">
        <v>2</v>
      </c>
      <c r="J1326" s="1">
        <v>2</v>
      </c>
      <c r="M1326" s="4">
        <v>1410</v>
      </c>
      <c r="N1326" s="1">
        <v>1597</v>
      </c>
      <c r="O1326" s="1">
        <v>2575</v>
      </c>
      <c r="P1326" s="1">
        <v>978</v>
      </c>
      <c r="Q1326" s="1" t="s">
        <v>42</v>
      </c>
      <c r="S1326" s="1" t="s">
        <v>42</v>
      </c>
      <c r="T1326" s="1" t="s">
        <v>153</v>
      </c>
      <c r="U1326" s="1">
        <v>132</v>
      </c>
      <c r="V1326" s="5">
        <v>42096</v>
      </c>
      <c r="W1326" s="5">
        <v>41859</v>
      </c>
      <c r="X1326" s="1">
        <v>1695000</v>
      </c>
      <c r="Y1326" s="1">
        <v>1695000</v>
      </c>
      <c r="AA1326" s="1">
        <v>1725933.75</v>
      </c>
      <c r="AB1326" s="1" t="s">
        <v>1145</v>
      </c>
      <c r="AC1326" s="5">
        <v>42089</v>
      </c>
      <c r="AF1326" s="1">
        <v>10019</v>
      </c>
      <c r="AI1326" s="1" t="s">
        <v>45</v>
      </c>
      <c r="AJ1326" s="1">
        <v>1930</v>
      </c>
      <c r="AK1326" s="1" t="s">
        <v>46</v>
      </c>
      <c r="AL1326" s="1">
        <v>51</v>
      </c>
    </row>
    <row r="1327" spans="1:38" x14ac:dyDescent="0.2">
      <c r="A1327" s="2" t="str">
        <f>HYPERLINK("https://www.compass.com/listing/425-west-50th-street-unit-15d-manhattan-ny-10019/29389222209235617/","425 W 50th St, Unit 15D")</f>
        <v>425 W 50th St, Unit 15D</v>
      </c>
      <c r="B1327" s="2" t="str">
        <f t="shared" si="193"/>
        <v>Stella Tower</v>
      </c>
      <c r="C1327" s="1" t="s">
        <v>67</v>
      </c>
      <c r="D1327" s="1" t="s">
        <v>41</v>
      </c>
      <c r="E1327" s="3">
        <v>2306336</v>
      </c>
      <c r="F1327" s="1">
        <v>1628.7683615819201</v>
      </c>
      <c r="G1327" s="1">
        <v>3</v>
      </c>
      <c r="H1327" s="1">
        <v>1</v>
      </c>
      <c r="I1327" s="1">
        <v>2</v>
      </c>
      <c r="J1327" s="1">
        <v>2</v>
      </c>
      <c r="M1327" s="4">
        <v>1416</v>
      </c>
      <c r="N1327" s="1">
        <v>1608</v>
      </c>
      <c r="O1327" s="1">
        <v>2592</v>
      </c>
      <c r="P1327" s="1">
        <v>984</v>
      </c>
      <c r="Q1327" s="1" t="s">
        <v>42</v>
      </c>
      <c r="S1327" s="1" t="s">
        <v>42</v>
      </c>
      <c r="T1327" s="1" t="s">
        <v>153</v>
      </c>
      <c r="U1327" s="1">
        <v>132</v>
      </c>
      <c r="V1327" s="5">
        <v>43670</v>
      </c>
      <c r="W1327" s="5">
        <v>41860</v>
      </c>
      <c r="X1327" s="1">
        <v>2265000</v>
      </c>
      <c r="Y1327" s="1">
        <v>2265000</v>
      </c>
      <c r="AA1327" s="1">
        <v>2306336</v>
      </c>
      <c r="AB1327" s="1" t="s">
        <v>1146</v>
      </c>
      <c r="AC1327" s="5">
        <v>42004</v>
      </c>
      <c r="AF1327" s="1">
        <v>10019</v>
      </c>
      <c r="AI1327" s="1" t="s">
        <v>45</v>
      </c>
      <c r="AJ1327" s="1">
        <v>1930</v>
      </c>
      <c r="AK1327" s="1" t="s">
        <v>46</v>
      </c>
      <c r="AL1327" s="1">
        <v>51</v>
      </c>
    </row>
    <row r="1328" spans="1:38" x14ac:dyDescent="0.2">
      <c r="A1328" s="2" t="str">
        <f>HYPERLINK("https://www.compass.com/listing/425-west-50th-street-unit-16b-manhattan-ny-10019/29389225589844737/","425 W 50th St, Unit 16B")</f>
        <v>425 W 50th St, Unit 16B</v>
      </c>
      <c r="B1328" s="2" t="str">
        <f t="shared" si="193"/>
        <v>Stella Tower</v>
      </c>
      <c r="C1328" s="1" t="s">
        <v>67</v>
      </c>
      <c r="D1328" s="1" t="s">
        <v>41</v>
      </c>
      <c r="E1328" s="3">
        <v>2540534</v>
      </c>
      <c r="F1328" s="1">
        <v>1799.2448654390901</v>
      </c>
      <c r="G1328" s="1">
        <v>3</v>
      </c>
      <c r="H1328" s="1">
        <v>1</v>
      </c>
      <c r="I1328" s="1">
        <v>2</v>
      </c>
      <c r="J1328" s="1">
        <v>2</v>
      </c>
      <c r="M1328" s="4">
        <v>1412</v>
      </c>
      <c r="N1328" s="1">
        <v>1605</v>
      </c>
      <c r="O1328" s="1">
        <v>2588</v>
      </c>
      <c r="P1328" s="1">
        <v>983</v>
      </c>
      <c r="Q1328" s="1" t="s">
        <v>42</v>
      </c>
      <c r="S1328" s="1" t="s">
        <v>42</v>
      </c>
      <c r="T1328" s="1" t="s">
        <v>153</v>
      </c>
      <c r="U1328" s="1">
        <v>132</v>
      </c>
      <c r="V1328" s="5">
        <v>41993</v>
      </c>
      <c r="W1328" s="5">
        <v>41859</v>
      </c>
      <c r="X1328" s="1">
        <v>2495000</v>
      </c>
      <c r="Y1328" s="1">
        <v>2495000</v>
      </c>
      <c r="AA1328" s="1">
        <v>2540533.75</v>
      </c>
      <c r="AB1328" s="1" t="s">
        <v>1147</v>
      </c>
      <c r="AC1328" s="5">
        <v>42076</v>
      </c>
      <c r="AF1328" s="1">
        <v>10019</v>
      </c>
      <c r="AI1328" s="1" t="s">
        <v>45</v>
      </c>
      <c r="AJ1328" s="1">
        <v>1930</v>
      </c>
      <c r="AK1328" s="1" t="s">
        <v>46</v>
      </c>
      <c r="AL1328" s="1">
        <v>51</v>
      </c>
    </row>
    <row r="1329" spans="1:38" x14ac:dyDescent="0.2">
      <c r="A1329" s="2" t="str">
        <f>HYPERLINK("https://www.compass.com/listing/425-west-50th-street-unit-11c-manhattan-ny-10019/803355726432544217/","425 W 50th St, Unit 11C")</f>
        <v>425 W 50th St, Unit 11C</v>
      </c>
      <c r="B1329" s="2" t="str">
        <f t="shared" si="193"/>
        <v>Stella Tower</v>
      </c>
      <c r="C1329" s="1" t="s">
        <v>67</v>
      </c>
      <c r="D1329" s="1" t="s">
        <v>41</v>
      </c>
      <c r="E1329" s="3">
        <v>2300000</v>
      </c>
      <c r="F1329" s="1">
        <v>1872.9641693811</v>
      </c>
      <c r="G1329" s="1">
        <v>4</v>
      </c>
      <c r="H1329" s="1">
        <v>1</v>
      </c>
      <c r="I1329" s="1">
        <v>2</v>
      </c>
      <c r="J1329" s="1">
        <v>2</v>
      </c>
      <c r="M1329" s="4">
        <v>1228</v>
      </c>
      <c r="N1329" s="1">
        <v>1388</v>
      </c>
      <c r="O1329" s="1">
        <v>2943</v>
      </c>
      <c r="P1329" s="1">
        <v>1555</v>
      </c>
      <c r="Q1329" s="1" t="s">
        <v>42</v>
      </c>
      <c r="S1329" s="1" t="s">
        <v>42</v>
      </c>
      <c r="T1329" s="1" t="s">
        <v>153</v>
      </c>
      <c r="U1329" s="1">
        <v>1</v>
      </c>
      <c r="V1329" s="5">
        <v>43154</v>
      </c>
      <c r="W1329" s="5">
        <v>42956</v>
      </c>
      <c r="X1329" s="1">
        <v>2300000</v>
      </c>
      <c r="Y1329" s="1">
        <v>2300000</v>
      </c>
      <c r="Z1329" s="5">
        <v>42958</v>
      </c>
      <c r="AA1329" s="1">
        <v>2300000</v>
      </c>
      <c r="AB1329" s="1" t="s">
        <v>1144</v>
      </c>
      <c r="AC1329" s="5">
        <v>43193</v>
      </c>
      <c r="AF1329" s="1">
        <v>10019</v>
      </c>
      <c r="AI1329" s="1" t="s">
        <v>45</v>
      </c>
      <c r="AJ1329" s="1">
        <v>1930</v>
      </c>
      <c r="AK1329" s="1" t="s">
        <v>46</v>
      </c>
      <c r="AL1329" s="1">
        <v>51</v>
      </c>
    </row>
    <row r="1330" spans="1:38" x14ac:dyDescent="0.2">
      <c r="A1330" s="2" t="str">
        <f>HYPERLINK("https://www.compass.com/listing/425-west-50th-street-unit-phc-manhattan-ny-10019/29513502154682385/","425 W 50th St, Unit PHC")</f>
        <v>425 W 50th St, Unit PHC</v>
      </c>
      <c r="B1330" s="2" t="str">
        <f t="shared" si="193"/>
        <v>Stella Tower</v>
      </c>
      <c r="C1330" s="1" t="s">
        <v>67</v>
      </c>
      <c r="D1330" s="1" t="s">
        <v>41</v>
      </c>
      <c r="E1330" s="3">
        <v>3042476</v>
      </c>
      <c r="F1330" s="1">
        <v>1961.6221792392</v>
      </c>
      <c r="G1330" s="1">
        <v>4</v>
      </c>
      <c r="H1330" s="1">
        <v>2</v>
      </c>
      <c r="I1330" s="1">
        <v>3</v>
      </c>
      <c r="J1330" s="1">
        <v>2.5</v>
      </c>
      <c r="K1330" s="1">
        <v>2</v>
      </c>
      <c r="L1330" s="1">
        <v>1</v>
      </c>
      <c r="M1330" s="4">
        <v>1551</v>
      </c>
      <c r="N1330" s="1">
        <v>1765</v>
      </c>
      <c r="O1330" s="1">
        <v>3920</v>
      </c>
      <c r="P1330" s="1">
        <v>2155</v>
      </c>
      <c r="Q1330" s="1" t="s">
        <v>42</v>
      </c>
      <c r="S1330" s="1" t="s">
        <v>42</v>
      </c>
      <c r="T1330" s="1" t="s">
        <v>153</v>
      </c>
      <c r="U1330" s="1">
        <v>489</v>
      </c>
      <c r="V1330" s="5">
        <v>44064</v>
      </c>
      <c r="W1330" s="5">
        <v>42767</v>
      </c>
      <c r="X1330" s="1">
        <v>3495000</v>
      </c>
      <c r="Y1330" s="1">
        <v>2995000</v>
      </c>
      <c r="Z1330" s="5">
        <v>43256</v>
      </c>
      <c r="AA1330" s="1">
        <v>3042476</v>
      </c>
      <c r="AB1330" s="1" t="s">
        <v>1148</v>
      </c>
      <c r="AC1330" s="5">
        <v>43294</v>
      </c>
      <c r="AF1330" s="1">
        <v>10019</v>
      </c>
      <c r="AI1330" s="1" t="s">
        <v>45</v>
      </c>
      <c r="AJ1330" s="1">
        <v>1930</v>
      </c>
      <c r="AK1330" s="1" t="s">
        <v>46</v>
      </c>
      <c r="AL1330" s="1">
        <v>51</v>
      </c>
    </row>
    <row r="1331" spans="1:38" x14ac:dyDescent="0.2">
      <c r="A1331" s="2" t="str">
        <f>HYPERLINK("https://www.compass.com/listing/425-west-50th-street-unit-15g-manhattan-ny-10019/29389224356729425/","425 W 50th St, Unit 15G")</f>
        <v>425 W 50th St, Unit 15G</v>
      </c>
      <c r="B1331" s="2" t="str">
        <f t="shared" si="193"/>
        <v>Stella Tower</v>
      </c>
      <c r="C1331" s="1" t="s">
        <v>67</v>
      </c>
      <c r="D1331" s="1" t="s">
        <v>41</v>
      </c>
      <c r="E1331" s="3">
        <v>1807394</v>
      </c>
      <c r="F1331" s="1">
        <v>1309.7057971014401</v>
      </c>
      <c r="G1331" s="1">
        <v>3</v>
      </c>
      <c r="H1331" s="1">
        <v>1</v>
      </c>
      <c r="I1331" s="1">
        <v>2</v>
      </c>
      <c r="J1331" s="1">
        <v>2</v>
      </c>
      <c r="M1331" s="4">
        <v>1380</v>
      </c>
      <c r="N1331" s="1">
        <v>1567</v>
      </c>
      <c r="O1331" s="1">
        <v>2526</v>
      </c>
      <c r="P1331" s="1">
        <v>959</v>
      </c>
      <c r="Q1331" s="1" t="s">
        <v>42</v>
      </c>
      <c r="S1331" s="1" t="s">
        <v>42</v>
      </c>
      <c r="T1331" s="1" t="s">
        <v>153</v>
      </c>
      <c r="U1331" s="1">
        <v>132</v>
      </c>
      <c r="V1331" s="5">
        <v>43670</v>
      </c>
      <c r="W1331" s="5">
        <v>41860</v>
      </c>
      <c r="X1331" s="1">
        <v>1775000</v>
      </c>
      <c r="Y1331" s="1">
        <v>1775000</v>
      </c>
      <c r="AA1331" s="1">
        <v>1807394</v>
      </c>
      <c r="AB1331" s="1" t="s">
        <v>1149</v>
      </c>
      <c r="AC1331" s="5">
        <v>42082</v>
      </c>
      <c r="AF1331" s="1">
        <v>10019</v>
      </c>
      <c r="AI1331" s="1" t="s">
        <v>45</v>
      </c>
      <c r="AJ1331" s="1">
        <v>1930</v>
      </c>
      <c r="AK1331" s="1" t="s">
        <v>46</v>
      </c>
      <c r="AL1331" s="1">
        <v>51</v>
      </c>
    </row>
    <row r="1332" spans="1:38" x14ac:dyDescent="0.2">
      <c r="A1332" s="2" t="str">
        <f>HYPERLINK("https://www.compass.com/listing/425-west-50th-street-unit-16e-manhattan-ny-10019/29389227150125857/","425 W 50th St, Unit 16E")</f>
        <v>425 W 50th St, Unit 16E</v>
      </c>
      <c r="B1332" s="2" t="str">
        <f t="shared" si="193"/>
        <v>Stella Tower</v>
      </c>
      <c r="C1332" s="1" t="s">
        <v>67</v>
      </c>
      <c r="D1332" s="1" t="s">
        <v>41</v>
      </c>
      <c r="E1332" s="3">
        <v>2087413</v>
      </c>
      <c r="F1332" s="1">
        <v>1540.5261992619901</v>
      </c>
      <c r="G1332" s="1">
        <v>3</v>
      </c>
      <c r="H1332" s="1">
        <v>1</v>
      </c>
      <c r="I1332" s="1">
        <v>2</v>
      </c>
      <c r="J1332" s="1">
        <v>2</v>
      </c>
      <c r="M1332" s="4">
        <v>1355</v>
      </c>
      <c r="N1332" s="1">
        <v>1540</v>
      </c>
      <c r="O1332" s="1">
        <v>2483</v>
      </c>
      <c r="P1332" s="1">
        <v>943</v>
      </c>
      <c r="Q1332" s="1" t="s">
        <v>42</v>
      </c>
      <c r="S1332" s="1" t="s">
        <v>42</v>
      </c>
      <c r="T1332" s="1" t="s">
        <v>153</v>
      </c>
      <c r="U1332" s="1">
        <v>132</v>
      </c>
      <c r="V1332" s="5">
        <v>43670</v>
      </c>
      <c r="W1332" s="5">
        <v>41860</v>
      </c>
      <c r="X1332" s="1">
        <v>2050000</v>
      </c>
      <c r="Y1332" s="1">
        <v>2050000</v>
      </c>
      <c r="AA1332" s="1">
        <v>2087413</v>
      </c>
      <c r="AB1332" s="1" t="s">
        <v>1150</v>
      </c>
      <c r="AC1332" s="5">
        <v>42080</v>
      </c>
      <c r="AF1332" s="1">
        <v>10019</v>
      </c>
      <c r="AI1332" s="1" t="s">
        <v>45</v>
      </c>
      <c r="AJ1332" s="1">
        <v>1930</v>
      </c>
      <c r="AK1332" s="1" t="s">
        <v>46</v>
      </c>
      <c r="AL1332" s="1">
        <v>51</v>
      </c>
    </row>
    <row r="1333" spans="1:38" x14ac:dyDescent="0.2">
      <c r="A1333" s="2" t="str">
        <f>HYPERLINK("https://www.compass.com/listing/432-west-52nd-street-unit-6d-manhattan-ny-10019/4852270753619385025/","432 W 52nd St, Unit 6D")</f>
        <v>432 W 52nd St, Unit 6D</v>
      </c>
      <c r="B1333" s="2" t="str">
        <f>HYPERLINK("https://www.compass.com/building/432-w-52nd-st-manhattan-ny-10019/292847238378489941/","432 W 52nd St")</f>
        <v>432 W 52nd St</v>
      </c>
      <c r="C1333" s="1" t="s">
        <v>67</v>
      </c>
      <c r="D1333" s="1" t="s">
        <v>41</v>
      </c>
      <c r="E1333" s="3">
        <v>1451006</v>
      </c>
      <c r="F1333" s="1">
        <v>1580.6165577341999</v>
      </c>
      <c r="G1333" s="1">
        <v>3</v>
      </c>
      <c r="H1333" s="1">
        <v>2</v>
      </c>
      <c r="I1333" s="1">
        <v>2</v>
      </c>
      <c r="J1333" s="1">
        <v>2</v>
      </c>
      <c r="M1333" s="1">
        <v>918</v>
      </c>
      <c r="N1333" s="1">
        <v>1095</v>
      </c>
      <c r="O1333" s="1">
        <v>2330</v>
      </c>
      <c r="P1333" s="1">
        <v>1235</v>
      </c>
      <c r="Q1333" s="1" t="s">
        <v>42</v>
      </c>
      <c r="S1333" s="1" t="s">
        <v>42</v>
      </c>
      <c r="T1333" s="1" t="s">
        <v>153</v>
      </c>
      <c r="U1333" s="1">
        <v>27</v>
      </c>
      <c r="V1333" s="5">
        <v>43651</v>
      </c>
      <c r="W1333" s="5">
        <v>42145</v>
      </c>
      <c r="X1333" s="1">
        <v>1425000</v>
      </c>
      <c r="Y1333" s="1">
        <v>1425000</v>
      </c>
      <c r="Z1333" s="5">
        <v>42172</v>
      </c>
      <c r="AA1333" s="1">
        <v>1451006</v>
      </c>
      <c r="AB1333" s="1" t="s">
        <v>1151</v>
      </c>
      <c r="AC1333" s="5">
        <v>42207</v>
      </c>
      <c r="AF1333" s="1">
        <v>10019</v>
      </c>
      <c r="AI1333" s="1" t="s">
        <v>55</v>
      </c>
      <c r="AJ1333" s="1">
        <v>1950</v>
      </c>
      <c r="AK1333" s="1" t="s">
        <v>121</v>
      </c>
      <c r="AL1333" s="1">
        <v>55</v>
      </c>
    </row>
    <row r="1334" spans="1:38" x14ac:dyDescent="0.2">
      <c r="A1334" s="2" t="str">
        <f>HYPERLINK("https://www.compass.com/listing/425-west-50th-street-unit-11h-manhattan-ny-10019/29389210414852465/","425 W 50th St, Unit 11H")</f>
        <v>425 W 50th St, Unit 11H</v>
      </c>
      <c r="B1334" s="2" t="str">
        <f t="shared" ref="B1334:B1335" si="194">HYPERLINK("https://www.compass.com/building/stella-tower-manhattan-ny/281945855710262181/","Stella Tower")</f>
        <v>Stella Tower</v>
      </c>
      <c r="C1334" s="1" t="s">
        <v>67</v>
      </c>
      <c r="D1334" s="1" t="s">
        <v>41</v>
      </c>
      <c r="E1334" s="3">
        <v>1640000</v>
      </c>
      <c r="F1334" s="1">
        <v>1755.88865096359</v>
      </c>
      <c r="G1334" s="1">
        <v>3</v>
      </c>
      <c r="H1334" s="1">
        <v>1</v>
      </c>
      <c r="I1334" s="1">
        <v>1</v>
      </c>
      <c r="J1334" s="1">
        <v>1</v>
      </c>
      <c r="K1334" s="1">
        <v>1</v>
      </c>
      <c r="M1334" s="1">
        <v>934</v>
      </c>
      <c r="N1334" s="1">
        <v>1056</v>
      </c>
      <c r="O1334" s="1">
        <v>2244.92</v>
      </c>
      <c r="P1334" s="1">
        <v>1188.9166666666599</v>
      </c>
      <c r="Q1334" s="1" t="s">
        <v>42</v>
      </c>
      <c r="S1334" s="1" t="s">
        <v>42</v>
      </c>
      <c r="T1334" s="1" t="s">
        <v>153</v>
      </c>
      <c r="U1334" s="1">
        <v>111</v>
      </c>
      <c r="V1334" s="5">
        <v>43649</v>
      </c>
      <c r="W1334" s="5">
        <v>42790</v>
      </c>
      <c r="X1334" s="1">
        <v>1950000</v>
      </c>
      <c r="Y1334" s="1">
        <v>1695000</v>
      </c>
      <c r="Z1334" s="5">
        <v>42901</v>
      </c>
      <c r="AA1334" s="1">
        <v>1640000</v>
      </c>
      <c r="AB1334" s="1" t="s">
        <v>1152</v>
      </c>
      <c r="AC1334" s="5">
        <v>42998</v>
      </c>
      <c r="AF1334" s="1">
        <v>10019</v>
      </c>
      <c r="AI1334" s="1" t="s">
        <v>45</v>
      </c>
      <c r="AJ1334" s="1">
        <v>1930</v>
      </c>
      <c r="AK1334" s="1" t="s">
        <v>46</v>
      </c>
      <c r="AL1334" s="1">
        <v>51</v>
      </c>
    </row>
    <row r="1335" spans="1:38" x14ac:dyDescent="0.2">
      <c r="A1335" s="2" t="str">
        <f>HYPERLINK("https://www.compass.com/listing/425-west-50th-street-unit-16c-manhattan-ny-10019/29389226076394097/","425 W 50th St, Unit 16C")</f>
        <v>425 W 50th St, Unit 16C</v>
      </c>
      <c r="B1335" s="2" t="str">
        <f t="shared" si="194"/>
        <v>Stella Tower</v>
      </c>
      <c r="C1335" s="1" t="s">
        <v>67</v>
      </c>
      <c r="D1335" s="1" t="s">
        <v>41</v>
      </c>
      <c r="E1335" s="3">
        <v>3515962</v>
      </c>
      <c r="F1335" s="1">
        <v>2035.87840185292</v>
      </c>
      <c r="G1335" s="1">
        <v>4</v>
      </c>
      <c r="H1335" s="1">
        <v>2</v>
      </c>
      <c r="I1335" s="1">
        <v>3</v>
      </c>
      <c r="J1335" s="1">
        <v>0.5</v>
      </c>
      <c r="L1335" s="1">
        <v>1</v>
      </c>
      <c r="M1335" s="4">
        <v>1727</v>
      </c>
      <c r="N1335" s="1">
        <v>1963</v>
      </c>
      <c r="O1335" s="1">
        <v>3959</v>
      </c>
      <c r="P1335" s="1">
        <v>1996</v>
      </c>
      <c r="Q1335" s="1" t="s">
        <v>42</v>
      </c>
      <c r="S1335" s="1" t="s">
        <v>42</v>
      </c>
      <c r="T1335" s="1" t="s">
        <v>153</v>
      </c>
      <c r="U1335" s="1">
        <v>400</v>
      </c>
      <c r="V1335" s="5">
        <v>43694</v>
      </c>
      <c r="W1335" s="5">
        <v>42355</v>
      </c>
      <c r="X1335" s="1">
        <v>4350000</v>
      </c>
      <c r="Y1335" s="1">
        <v>3495000</v>
      </c>
      <c r="Z1335" s="5">
        <v>42755</v>
      </c>
      <c r="AA1335" s="1">
        <v>3515962</v>
      </c>
      <c r="AB1335" s="1" t="s">
        <v>1153</v>
      </c>
      <c r="AC1335" s="5">
        <v>42826</v>
      </c>
      <c r="AF1335" s="1">
        <v>10019</v>
      </c>
      <c r="AI1335" s="1" t="s">
        <v>45</v>
      </c>
      <c r="AJ1335" s="1">
        <v>1930</v>
      </c>
      <c r="AK1335" s="1" t="s">
        <v>46</v>
      </c>
      <c r="AL1335" s="1">
        <v>51</v>
      </c>
    </row>
    <row r="1336" spans="1:38" x14ac:dyDescent="0.2">
      <c r="A1336" s="2" t="str">
        <f>HYPERLINK("https://www.compass.com/listing/102-west-118th-street-unit-garden-manhattan-ny-10026/126389363494884225/","102 W 118th St, Unit GARDEN")</f>
        <v>102 W 118th St, Unit GARDEN</v>
      </c>
      <c r="B1336" s="2" t="str">
        <f>HYPERLINK("https://www.compass.com/building/102-w-118th-st-manhattan-ny-10026/281973841314537445/","102 W 118th St")</f>
        <v>102 W 118th St</v>
      </c>
      <c r="C1336" s="1" t="s">
        <v>60</v>
      </c>
      <c r="D1336" s="1" t="s">
        <v>41</v>
      </c>
      <c r="E1336" s="3">
        <v>1850000</v>
      </c>
      <c r="F1336" s="1">
        <v>877.60910815939201</v>
      </c>
      <c r="G1336" s="1">
        <v>10</v>
      </c>
      <c r="H1336" s="1">
        <v>3</v>
      </c>
      <c r="I1336" s="1">
        <v>4</v>
      </c>
      <c r="J1336" s="1">
        <v>3.5</v>
      </c>
      <c r="K1336" s="1">
        <v>3</v>
      </c>
      <c r="L1336" s="1">
        <v>1</v>
      </c>
      <c r="M1336" s="4">
        <v>2108</v>
      </c>
      <c r="N1336" s="1">
        <v>854</v>
      </c>
      <c r="O1336" s="1">
        <v>1114</v>
      </c>
      <c r="P1336" s="1">
        <v>260</v>
      </c>
      <c r="Q1336" s="1" t="s">
        <v>42</v>
      </c>
      <c r="S1336" s="1" t="s">
        <v>42</v>
      </c>
      <c r="T1336" s="1" t="s">
        <v>153</v>
      </c>
      <c r="U1336" s="1">
        <v>112</v>
      </c>
      <c r="V1336" s="5">
        <v>43626</v>
      </c>
      <c r="W1336" s="5">
        <v>43426</v>
      </c>
      <c r="X1336" s="1">
        <v>2245000</v>
      </c>
      <c r="Y1336" s="1">
        <v>1995000</v>
      </c>
      <c r="Z1336" s="5">
        <v>43538</v>
      </c>
      <c r="AA1336" s="1">
        <v>1850000</v>
      </c>
      <c r="AB1336" s="1" t="s">
        <v>177</v>
      </c>
      <c r="AC1336" s="5">
        <v>43588</v>
      </c>
      <c r="AF1336" s="1">
        <v>10026</v>
      </c>
      <c r="AI1336" s="1" t="s">
        <v>1154</v>
      </c>
      <c r="AJ1336" s="1">
        <v>1910</v>
      </c>
      <c r="AL1336" s="1">
        <v>4</v>
      </c>
    </row>
    <row r="1337" spans="1:38" x14ac:dyDescent="0.2">
      <c r="A1337" s="2" t="str">
        <f>HYPERLINK("https://www.compass.com/listing/425-west-50th-street-unit-10b-manhattan-ny-10019/29389202638622817/","425 W 50th St, Unit 10B")</f>
        <v>425 W 50th St, Unit 10B</v>
      </c>
      <c r="B1337" s="2" t="str">
        <f t="shared" ref="B1337:B1339" si="195">HYPERLINK("https://www.compass.com/building/stella-tower-manhattan-ny/281945855710262181/","Stella Tower")</f>
        <v>Stella Tower</v>
      </c>
      <c r="C1337" s="1" t="s">
        <v>67</v>
      </c>
      <c r="D1337" s="1" t="s">
        <v>41</v>
      </c>
      <c r="E1337" s="3">
        <v>1934675</v>
      </c>
      <c r="F1337" s="1">
        <v>1664.9526678141101</v>
      </c>
      <c r="G1337" s="1">
        <v>3</v>
      </c>
      <c r="H1337" s="1">
        <v>1</v>
      </c>
      <c r="I1337" s="1">
        <v>2</v>
      </c>
      <c r="J1337" s="1">
        <v>2</v>
      </c>
      <c r="M1337" s="4">
        <v>1162</v>
      </c>
      <c r="N1337" s="1">
        <v>1313</v>
      </c>
      <c r="O1337" s="1">
        <v>2117</v>
      </c>
      <c r="P1337" s="1">
        <v>804</v>
      </c>
      <c r="Q1337" s="1" t="s">
        <v>42</v>
      </c>
      <c r="S1337" s="1" t="s">
        <v>42</v>
      </c>
      <c r="T1337" s="1" t="s">
        <v>153</v>
      </c>
      <c r="U1337" s="1">
        <v>132</v>
      </c>
      <c r="V1337" s="5">
        <v>43670</v>
      </c>
      <c r="W1337" s="5">
        <v>41860</v>
      </c>
      <c r="X1337" s="1">
        <v>1900000</v>
      </c>
      <c r="Y1337" s="1">
        <v>1900000</v>
      </c>
      <c r="AA1337" s="1">
        <v>1934675</v>
      </c>
      <c r="AB1337" s="1" t="s">
        <v>1155</v>
      </c>
      <c r="AC1337" s="5">
        <v>42024</v>
      </c>
      <c r="AF1337" s="1">
        <v>10019</v>
      </c>
      <c r="AI1337" s="1" t="s">
        <v>45</v>
      </c>
      <c r="AJ1337" s="1">
        <v>1930</v>
      </c>
      <c r="AK1337" s="1" t="s">
        <v>46</v>
      </c>
      <c r="AL1337" s="1">
        <v>51</v>
      </c>
    </row>
    <row r="1338" spans="1:38" x14ac:dyDescent="0.2">
      <c r="A1338" s="2" t="str">
        <f>HYPERLINK("https://www.compass.com/listing/425-west-50th-street-unit-14g-manhattan-ny-10019/29513501760382225/","425 W 50th St, Unit 14G")</f>
        <v>425 W 50th St, Unit 14G</v>
      </c>
      <c r="B1338" s="2" t="str">
        <f t="shared" si="195"/>
        <v>Stella Tower</v>
      </c>
      <c r="C1338" s="1" t="s">
        <v>67</v>
      </c>
      <c r="D1338" s="1" t="s">
        <v>41</v>
      </c>
      <c r="E1338" s="3">
        <v>2418344</v>
      </c>
      <c r="F1338" s="1">
        <v>1752.4231884057899</v>
      </c>
      <c r="G1338" s="1">
        <v>3</v>
      </c>
      <c r="H1338" s="1">
        <v>1</v>
      </c>
      <c r="I1338" s="1">
        <v>2</v>
      </c>
      <c r="J1338" s="1">
        <v>2</v>
      </c>
      <c r="M1338" s="4">
        <v>1380</v>
      </c>
      <c r="N1338" s="1">
        <v>1638</v>
      </c>
      <c r="O1338" s="1">
        <v>2641</v>
      </c>
      <c r="P1338" s="1">
        <v>1003</v>
      </c>
      <c r="Q1338" s="1" t="s">
        <v>42</v>
      </c>
      <c r="S1338" s="1" t="s">
        <v>42</v>
      </c>
      <c r="T1338" s="1" t="s">
        <v>153</v>
      </c>
      <c r="U1338" s="1">
        <v>132</v>
      </c>
      <c r="V1338" s="5">
        <v>43670</v>
      </c>
      <c r="W1338" s="5">
        <v>41860</v>
      </c>
      <c r="X1338" s="1">
        <v>2375000</v>
      </c>
      <c r="Y1338" s="1">
        <v>2375000</v>
      </c>
      <c r="AA1338" s="1">
        <v>2418344</v>
      </c>
      <c r="AB1338" s="1" t="s">
        <v>1156</v>
      </c>
      <c r="AC1338" s="5">
        <v>42003</v>
      </c>
      <c r="AF1338" s="1">
        <v>10019</v>
      </c>
      <c r="AI1338" s="1" t="s">
        <v>45</v>
      </c>
      <c r="AJ1338" s="1">
        <v>1930</v>
      </c>
      <c r="AK1338" s="1" t="s">
        <v>46</v>
      </c>
      <c r="AL1338" s="1">
        <v>51</v>
      </c>
    </row>
    <row r="1339" spans="1:38" x14ac:dyDescent="0.2">
      <c r="A1339" s="2" t="str">
        <f>HYPERLINK("https://www.compass.com/listing/425-west-50th-street-unit-11e-manhattan-ny-10019/29513500451708657/","425 W 50th St, Unit 11E")</f>
        <v>425 W 50th St, Unit 11E</v>
      </c>
      <c r="B1339" s="2" t="str">
        <f t="shared" si="195"/>
        <v>Stella Tower</v>
      </c>
      <c r="C1339" s="1" t="s">
        <v>67</v>
      </c>
      <c r="D1339" s="1" t="s">
        <v>41</v>
      </c>
      <c r="E1339" s="3">
        <v>2400000</v>
      </c>
      <c r="F1339" s="1">
        <v>2173.9130434782601</v>
      </c>
      <c r="G1339" s="1">
        <v>3</v>
      </c>
      <c r="H1339" s="1">
        <v>1</v>
      </c>
      <c r="I1339" s="1">
        <v>2</v>
      </c>
      <c r="J1339" s="1">
        <v>1.5</v>
      </c>
      <c r="K1339" s="1">
        <v>1</v>
      </c>
      <c r="L1339" s="1">
        <v>1</v>
      </c>
      <c r="M1339" s="4">
        <v>1104</v>
      </c>
      <c r="N1339" s="1">
        <v>1386</v>
      </c>
      <c r="O1339" s="1">
        <v>2903.39</v>
      </c>
      <c r="P1339" s="1">
        <v>1517.4166666666599</v>
      </c>
      <c r="Q1339" s="1" t="s">
        <v>42</v>
      </c>
      <c r="S1339" s="1" t="s">
        <v>42</v>
      </c>
      <c r="T1339" s="1" t="s">
        <v>153</v>
      </c>
      <c r="U1339" s="1">
        <v>141</v>
      </c>
      <c r="V1339" s="5">
        <v>43643</v>
      </c>
      <c r="W1339" s="5">
        <v>43260</v>
      </c>
      <c r="X1339" s="1">
        <v>2495000</v>
      </c>
      <c r="Y1339" s="1">
        <v>2495000</v>
      </c>
      <c r="Z1339" s="5">
        <v>43401</v>
      </c>
      <c r="AA1339" s="1">
        <v>2400000</v>
      </c>
      <c r="AB1339" s="1" t="s">
        <v>1157</v>
      </c>
      <c r="AC1339" s="5">
        <v>43479</v>
      </c>
      <c r="AF1339" s="1">
        <v>10019</v>
      </c>
      <c r="AI1339" s="1" t="s">
        <v>45</v>
      </c>
      <c r="AJ1339" s="1">
        <v>1930</v>
      </c>
      <c r="AK1339" s="1" t="s">
        <v>46</v>
      </c>
      <c r="AL1339" s="1">
        <v>51</v>
      </c>
    </row>
    <row r="1340" spans="1:38" x14ac:dyDescent="0.2">
      <c r="A1340" s="2" t="str">
        <f>HYPERLINK("https://www.compass.com/listing/432-west-52nd-street-unit-garden-d-manhattan-ny-10019/4852269858856901473/","432 W 52nd St, Unit GARDEN/D")</f>
        <v>432 W 52nd St, Unit GARDEN/D</v>
      </c>
      <c r="B1340" s="2" t="str">
        <f>HYPERLINK("https://www.compass.com/building/432-w-52nd-st-manhattan-ny-10019/292847238378489941/","432 W 52nd St")</f>
        <v>432 W 52nd St</v>
      </c>
      <c r="C1340" s="1" t="s">
        <v>67</v>
      </c>
      <c r="D1340" s="1" t="s">
        <v>41</v>
      </c>
      <c r="E1340" s="3">
        <v>1950000</v>
      </c>
      <c r="F1340" s="1">
        <v>1310.4838709677399</v>
      </c>
      <c r="G1340" s="1">
        <v>3</v>
      </c>
      <c r="H1340" s="1">
        <v>1</v>
      </c>
      <c r="I1340" s="1">
        <v>2</v>
      </c>
      <c r="J1340" s="1">
        <v>1.5</v>
      </c>
      <c r="M1340" s="4">
        <v>1488</v>
      </c>
      <c r="N1340" s="1">
        <v>1776</v>
      </c>
      <c r="O1340" s="1">
        <v>3778</v>
      </c>
      <c r="P1340" s="1">
        <v>2002</v>
      </c>
      <c r="Q1340" s="1" t="s">
        <v>42</v>
      </c>
      <c r="S1340" s="1" t="s">
        <v>42</v>
      </c>
      <c r="T1340" s="1" t="s">
        <v>153</v>
      </c>
      <c r="U1340" s="1">
        <v>96</v>
      </c>
      <c r="V1340" s="5">
        <v>43654</v>
      </c>
      <c r="W1340" s="5">
        <v>42063</v>
      </c>
      <c r="X1340" s="1">
        <v>1950000</v>
      </c>
      <c r="Y1340" s="1">
        <v>1950000</v>
      </c>
      <c r="Z1340" s="5">
        <v>42159</v>
      </c>
      <c r="AA1340" s="1">
        <v>1950000</v>
      </c>
      <c r="AB1340" s="1" t="s">
        <v>177</v>
      </c>
      <c r="AC1340" s="5">
        <v>42195</v>
      </c>
      <c r="AF1340" s="1">
        <v>10019</v>
      </c>
      <c r="AI1340" s="1" t="s">
        <v>852</v>
      </c>
      <c r="AJ1340" s="1">
        <v>1950</v>
      </c>
      <c r="AK1340" s="1" t="s">
        <v>121</v>
      </c>
      <c r="AL1340" s="1">
        <v>55</v>
      </c>
    </row>
    <row r="1341" spans="1:38" x14ac:dyDescent="0.2">
      <c r="A1341" s="2" t="str">
        <f>HYPERLINK("https://www.compass.com/listing/425-west-50th-street-unit-11d-manhattan-ny-10019/29389208015720641/","425 W 50th St, Unit 11D")</f>
        <v>425 W 50th St, Unit 11D</v>
      </c>
      <c r="B1341" s="2" t="str">
        <f t="shared" ref="B1341:B1346" si="196">HYPERLINK("https://www.compass.com/building/stella-tower-manhattan-ny/281945855710262181/","Stella Tower")</f>
        <v>Stella Tower</v>
      </c>
      <c r="C1341" s="1" t="s">
        <v>67</v>
      </c>
      <c r="D1341" s="1" t="s">
        <v>41</v>
      </c>
      <c r="E1341" s="3">
        <v>3719612</v>
      </c>
      <c r="F1341" s="1">
        <v>2038.14356164383</v>
      </c>
      <c r="G1341" s="1">
        <v>6</v>
      </c>
      <c r="H1341" s="1">
        <v>2</v>
      </c>
      <c r="I1341" s="1">
        <v>3</v>
      </c>
      <c r="M1341" s="4">
        <v>1825</v>
      </c>
      <c r="N1341" s="1">
        <v>2064</v>
      </c>
      <c r="O1341" s="1">
        <v>4163</v>
      </c>
      <c r="P1341" s="1">
        <v>2099</v>
      </c>
      <c r="Q1341" s="1" t="s">
        <v>42</v>
      </c>
      <c r="S1341" s="1" t="s">
        <v>42</v>
      </c>
      <c r="T1341" s="1" t="s">
        <v>153</v>
      </c>
      <c r="U1341" s="1">
        <v>2</v>
      </c>
      <c r="V1341" s="5">
        <v>43649</v>
      </c>
      <c r="W1341" s="5">
        <v>42717</v>
      </c>
      <c r="X1341" s="1">
        <v>3995000</v>
      </c>
      <c r="Y1341" s="1">
        <v>4000000</v>
      </c>
      <c r="Z1341" s="5">
        <v>42719</v>
      </c>
      <c r="AA1341" s="1">
        <v>3719612</v>
      </c>
      <c r="AB1341" s="1" t="s">
        <v>1158</v>
      </c>
      <c r="AC1341" s="5">
        <v>42775</v>
      </c>
      <c r="AF1341" s="1">
        <v>10019</v>
      </c>
      <c r="AI1341" s="1" t="s">
        <v>45</v>
      </c>
      <c r="AJ1341" s="1">
        <v>1930</v>
      </c>
      <c r="AK1341" s="1" t="s">
        <v>46</v>
      </c>
      <c r="AL1341" s="1">
        <v>51</v>
      </c>
    </row>
    <row r="1342" spans="1:38" x14ac:dyDescent="0.2">
      <c r="A1342" s="2" t="str">
        <f>HYPERLINK("https://www.compass.com/listing/425-west-50th-street-unit-12h-manhattan-ny-10019/29389216588878241/","425 W 50th St, Unit 12H")</f>
        <v>425 W 50th St, Unit 12H</v>
      </c>
      <c r="B1342" s="2" t="str">
        <f t="shared" si="196"/>
        <v>Stella Tower</v>
      </c>
      <c r="C1342" s="1" t="s">
        <v>67</v>
      </c>
      <c r="D1342" s="1" t="s">
        <v>41</v>
      </c>
      <c r="E1342" s="3">
        <v>3974175</v>
      </c>
      <c r="F1342" s="1">
        <v>2147.0421393841102</v>
      </c>
      <c r="G1342" s="1">
        <v>4</v>
      </c>
      <c r="H1342" s="1">
        <v>2</v>
      </c>
      <c r="I1342" s="1">
        <v>3</v>
      </c>
      <c r="J1342" s="1">
        <v>0.5</v>
      </c>
      <c r="L1342" s="1">
        <v>1</v>
      </c>
      <c r="M1342" s="4">
        <v>1851</v>
      </c>
      <c r="N1342" s="1">
        <v>2096</v>
      </c>
      <c r="O1342" s="1">
        <v>3379</v>
      </c>
      <c r="P1342" s="1">
        <v>1283</v>
      </c>
      <c r="Q1342" s="1" t="s">
        <v>42</v>
      </c>
      <c r="S1342" s="1" t="s">
        <v>42</v>
      </c>
      <c r="T1342" s="1" t="s">
        <v>153</v>
      </c>
      <c r="U1342" s="1">
        <v>176</v>
      </c>
      <c r="V1342" s="5">
        <v>43656</v>
      </c>
      <c r="W1342" s="5">
        <v>42290</v>
      </c>
      <c r="X1342" s="1">
        <v>3995000</v>
      </c>
      <c r="Y1342" s="1">
        <v>3995000</v>
      </c>
      <c r="Z1342" s="5">
        <v>42466</v>
      </c>
      <c r="AA1342" s="1">
        <v>3974175</v>
      </c>
      <c r="AB1342" s="1" t="s">
        <v>1159</v>
      </c>
      <c r="AC1342" s="5">
        <v>42480</v>
      </c>
      <c r="AF1342" s="1">
        <v>10019</v>
      </c>
      <c r="AI1342" s="1" t="s">
        <v>45</v>
      </c>
      <c r="AJ1342" s="1">
        <v>1930</v>
      </c>
      <c r="AK1342" s="1" t="s">
        <v>46</v>
      </c>
      <c r="AL1342" s="1">
        <v>51</v>
      </c>
    </row>
    <row r="1343" spans="1:38" x14ac:dyDescent="0.2">
      <c r="A1343" s="2" t="str">
        <f>HYPERLINK("https://www.compass.com/listing/425-west-50th-street-unit-11g-manhattan-ny-10019/29389209408229601/","425 W 50th St, Unit 11G")</f>
        <v>425 W 50th St, Unit 11G</v>
      </c>
      <c r="B1343" s="2" t="str">
        <f t="shared" si="196"/>
        <v>Stella Tower</v>
      </c>
      <c r="C1343" s="1" t="s">
        <v>67</v>
      </c>
      <c r="D1343" s="1" t="s">
        <v>41</v>
      </c>
      <c r="E1343" s="3">
        <v>3923262</v>
      </c>
      <c r="F1343" s="1">
        <v>2086.8414893617</v>
      </c>
      <c r="G1343" s="1">
        <v>4</v>
      </c>
      <c r="H1343" s="1">
        <v>2</v>
      </c>
      <c r="I1343" s="1">
        <v>3</v>
      </c>
      <c r="J1343" s="1">
        <v>0.5</v>
      </c>
      <c r="L1343" s="1">
        <v>1</v>
      </c>
      <c r="M1343" s="4">
        <v>1880</v>
      </c>
      <c r="N1343" s="1">
        <v>2126</v>
      </c>
      <c r="O1343" s="1">
        <v>3428</v>
      </c>
      <c r="P1343" s="1">
        <v>1302</v>
      </c>
      <c r="Q1343" s="1" t="s">
        <v>42</v>
      </c>
      <c r="S1343" s="1" t="s">
        <v>42</v>
      </c>
      <c r="T1343" s="1" t="s">
        <v>153</v>
      </c>
      <c r="U1343" s="1">
        <v>7</v>
      </c>
      <c r="V1343" s="5">
        <v>43661</v>
      </c>
      <c r="W1343" s="5">
        <v>42462</v>
      </c>
      <c r="X1343" s="1">
        <v>4250000</v>
      </c>
      <c r="Y1343" s="1">
        <v>4250000</v>
      </c>
      <c r="Z1343" s="5">
        <v>42469</v>
      </c>
      <c r="AA1343" s="1">
        <v>3923262</v>
      </c>
      <c r="AB1343" s="1" t="s">
        <v>1160</v>
      </c>
      <c r="AC1343" s="5">
        <v>42536</v>
      </c>
      <c r="AF1343" s="1">
        <v>10019</v>
      </c>
      <c r="AI1343" s="1" t="s">
        <v>45</v>
      </c>
      <c r="AJ1343" s="1">
        <v>1930</v>
      </c>
      <c r="AK1343" s="1" t="s">
        <v>46</v>
      </c>
      <c r="AL1343" s="1">
        <v>51</v>
      </c>
    </row>
    <row r="1344" spans="1:38" x14ac:dyDescent="0.2">
      <c r="A1344" s="2" t="str">
        <f>HYPERLINK("https://www.compass.com/listing/425-west-50th-street-unit-15b-manhattan-ny-10019/4852316821698648065/","425 W 50th St, Unit 15B")</f>
        <v>425 W 50th St, Unit 15B</v>
      </c>
      <c r="B1344" s="2" t="str">
        <f t="shared" si="196"/>
        <v>Stella Tower</v>
      </c>
      <c r="C1344" s="1" t="s">
        <v>67</v>
      </c>
      <c r="D1344" s="1" t="s">
        <v>41</v>
      </c>
      <c r="E1344" s="3">
        <v>3462050</v>
      </c>
      <c r="F1344" s="1">
        <v>2485.3194544149301</v>
      </c>
      <c r="G1344" s="1">
        <v>4</v>
      </c>
      <c r="H1344" s="1">
        <v>2</v>
      </c>
      <c r="I1344" s="1">
        <v>3</v>
      </c>
      <c r="J1344" s="1">
        <v>2.5</v>
      </c>
      <c r="M1344" s="4">
        <v>1393</v>
      </c>
      <c r="N1344" s="1">
        <v>1623</v>
      </c>
      <c r="O1344" s="1">
        <v>2617</v>
      </c>
      <c r="P1344" s="1">
        <v>994</v>
      </c>
      <c r="Q1344" s="1" t="s">
        <v>42</v>
      </c>
      <c r="S1344" s="1" t="s">
        <v>42</v>
      </c>
      <c r="T1344" s="1" t="s">
        <v>153</v>
      </c>
      <c r="V1344" s="5">
        <v>43654</v>
      </c>
      <c r="W1344" s="5">
        <v>41976</v>
      </c>
      <c r="X1344" s="1">
        <v>3400000</v>
      </c>
      <c r="Y1344" s="1">
        <v>3400000</v>
      </c>
      <c r="Z1344" s="5">
        <v>41976</v>
      </c>
      <c r="AA1344" s="1">
        <v>3462050</v>
      </c>
      <c r="AB1344" s="1" t="s">
        <v>177</v>
      </c>
      <c r="AC1344" s="5">
        <v>42012</v>
      </c>
      <c r="AF1344" s="1">
        <v>10019</v>
      </c>
      <c r="AI1344" s="1" t="s">
        <v>364</v>
      </c>
      <c r="AJ1344" s="1">
        <v>1930</v>
      </c>
      <c r="AK1344" s="1" t="s">
        <v>46</v>
      </c>
      <c r="AL1344" s="1">
        <v>51</v>
      </c>
    </row>
    <row r="1345" spans="1:38" x14ac:dyDescent="0.2">
      <c r="A1345" s="2" t="str">
        <f>HYPERLINK("https://www.compass.com/listing/425-west-50th-street-unit-10c-manhattan-ny-10019/29389203125094545/","425 W 50th St, Unit 10C")</f>
        <v>425 W 50th St, Unit 10C</v>
      </c>
      <c r="B1345" s="2" t="str">
        <f t="shared" si="196"/>
        <v>Stella Tower</v>
      </c>
      <c r="C1345" s="1" t="s">
        <v>67</v>
      </c>
      <c r="D1345" s="1" t="s">
        <v>41</v>
      </c>
      <c r="E1345" s="3">
        <v>4734863</v>
      </c>
      <c r="F1345" s="1">
        <v>2685.6849120816701</v>
      </c>
      <c r="G1345" s="1">
        <v>4</v>
      </c>
      <c r="H1345" s="1">
        <v>2</v>
      </c>
      <c r="I1345" s="1">
        <v>3</v>
      </c>
      <c r="J1345" s="1">
        <v>0.5</v>
      </c>
      <c r="L1345" s="1">
        <v>1</v>
      </c>
      <c r="M1345" s="4">
        <v>1763</v>
      </c>
      <c r="N1345" s="1">
        <v>2088</v>
      </c>
      <c r="O1345" s="1">
        <v>3367</v>
      </c>
      <c r="P1345" s="1">
        <v>1279</v>
      </c>
      <c r="Q1345" s="1" t="s">
        <v>42</v>
      </c>
      <c r="S1345" s="1" t="s">
        <v>42</v>
      </c>
      <c r="T1345" s="1" t="s">
        <v>153</v>
      </c>
      <c r="U1345" s="1">
        <v>149</v>
      </c>
      <c r="V1345" s="5">
        <v>43267</v>
      </c>
      <c r="W1345" s="5">
        <v>42261</v>
      </c>
      <c r="X1345" s="1">
        <v>4995000</v>
      </c>
      <c r="Y1345" s="1">
        <v>4995000</v>
      </c>
      <c r="AA1345" s="1">
        <v>4734862.5</v>
      </c>
      <c r="AB1345" s="1" t="s">
        <v>1161</v>
      </c>
      <c r="AC1345" s="5">
        <v>42410</v>
      </c>
      <c r="AF1345" s="1">
        <v>10019</v>
      </c>
      <c r="AI1345" s="1" t="s">
        <v>233</v>
      </c>
      <c r="AJ1345" s="1">
        <v>1930</v>
      </c>
      <c r="AK1345" s="1" t="s">
        <v>46</v>
      </c>
      <c r="AL1345" s="1">
        <v>51</v>
      </c>
    </row>
    <row r="1346" spans="1:38" x14ac:dyDescent="0.2">
      <c r="A1346" s="2" t="str">
        <f>HYPERLINK("https://www.compass.com/listing/425-west-50th-street-unit-12a-manhattan-ny-10019/29389211253655857/","425 W 50th St, Unit 12A")</f>
        <v>425 W 50th St, Unit 12A</v>
      </c>
      <c r="B1346" s="2" t="str">
        <f t="shared" si="196"/>
        <v>Stella Tower</v>
      </c>
      <c r="C1346" s="1" t="s">
        <v>67</v>
      </c>
      <c r="D1346" s="1" t="s">
        <v>41</v>
      </c>
      <c r="E1346" s="3">
        <v>3767525</v>
      </c>
      <c r="F1346" s="1">
        <v>2086.1157253599099</v>
      </c>
      <c r="G1346" s="1">
        <v>4</v>
      </c>
      <c r="H1346" s="1">
        <v>2</v>
      </c>
      <c r="I1346" s="1">
        <v>2</v>
      </c>
      <c r="J1346" s="1">
        <v>2</v>
      </c>
      <c r="M1346" s="4">
        <v>1806</v>
      </c>
      <c r="N1346" s="1">
        <v>2045</v>
      </c>
      <c r="O1346" s="1">
        <v>3297</v>
      </c>
      <c r="P1346" s="1">
        <v>1252</v>
      </c>
      <c r="Q1346" s="1" t="s">
        <v>42</v>
      </c>
      <c r="S1346" s="1" t="s">
        <v>42</v>
      </c>
      <c r="T1346" s="1" t="s">
        <v>153</v>
      </c>
      <c r="U1346" s="1">
        <v>132</v>
      </c>
      <c r="V1346" s="5">
        <v>43670</v>
      </c>
      <c r="W1346" s="5">
        <v>41860</v>
      </c>
      <c r="X1346" s="1">
        <v>3700000</v>
      </c>
      <c r="Y1346" s="1">
        <v>3700000</v>
      </c>
      <c r="AA1346" s="1">
        <v>3767525</v>
      </c>
      <c r="AB1346" s="1" t="s">
        <v>1162</v>
      </c>
      <c r="AC1346" s="5">
        <v>42053</v>
      </c>
      <c r="AF1346" s="1">
        <v>10019</v>
      </c>
      <c r="AI1346" s="1" t="s">
        <v>45</v>
      </c>
      <c r="AJ1346" s="1">
        <v>1930</v>
      </c>
      <c r="AK1346" s="1" t="s">
        <v>46</v>
      </c>
      <c r="AL1346" s="1">
        <v>51</v>
      </c>
    </row>
    <row r="1347" spans="1:38" x14ac:dyDescent="0.2">
      <c r="A1347" s="2" t="str">
        <f>HYPERLINK("https://www.compass.com/listing/432-west-52nd-street-unit-gardena-manhattan-ny-10019/70930839239703921/","432 W 52nd St, Unit GARDENA")</f>
        <v>432 W 52nd St, Unit GARDENA</v>
      </c>
      <c r="B1347" s="2" t="str">
        <f>HYPERLINK("https://www.compass.com/building/432-w-52nd-st-manhattan-ny-10019/292847238378489941/","432 W 52nd St")</f>
        <v>432 W 52nd St</v>
      </c>
      <c r="C1347" s="1" t="s">
        <v>67</v>
      </c>
      <c r="D1347" s="1" t="s">
        <v>41</v>
      </c>
      <c r="E1347" s="3">
        <v>1795000</v>
      </c>
      <c r="F1347" s="1">
        <v>1234.5254470426401</v>
      </c>
      <c r="G1347" s="1">
        <v>4</v>
      </c>
      <c r="H1347" s="1">
        <v>2</v>
      </c>
      <c r="I1347" s="1">
        <v>2</v>
      </c>
      <c r="J1347" s="1">
        <v>1.5</v>
      </c>
      <c r="K1347" s="1">
        <v>1</v>
      </c>
      <c r="L1347" s="1">
        <v>1</v>
      </c>
      <c r="M1347" s="4">
        <v>1454</v>
      </c>
      <c r="N1347" s="1">
        <v>1869</v>
      </c>
      <c r="O1347" s="1">
        <v>4000</v>
      </c>
      <c r="P1347" s="1">
        <v>2131</v>
      </c>
      <c r="Q1347" s="1" t="s">
        <v>42</v>
      </c>
      <c r="S1347" s="1" t="s">
        <v>42</v>
      </c>
      <c r="T1347" s="1" t="s">
        <v>153</v>
      </c>
      <c r="U1347" s="1">
        <v>89</v>
      </c>
      <c r="V1347" s="5">
        <v>43224</v>
      </c>
      <c r="W1347" s="5">
        <v>42761</v>
      </c>
      <c r="X1347" s="1">
        <v>1875000</v>
      </c>
      <c r="Y1347" s="1">
        <v>1795000</v>
      </c>
      <c r="Z1347" s="5">
        <v>42851</v>
      </c>
      <c r="AA1347" s="1">
        <v>1795000</v>
      </c>
      <c r="AB1347" s="1" t="s">
        <v>177</v>
      </c>
      <c r="AC1347" s="5">
        <v>42866</v>
      </c>
      <c r="AF1347" s="1">
        <v>10019</v>
      </c>
      <c r="AI1347" s="1" t="s">
        <v>1163</v>
      </c>
      <c r="AJ1347" s="1">
        <v>1950</v>
      </c>
      <c r="AK1347" s="1" t="s">
        <v>69</v>
      </c>
      <c r="AL1347" s="1">
        <v>55</v>
      </c>
    </row>
    <row r="1348" spans="1:38" x14ac:dyDescent="0.2">
      <c r="A1348" s="2" t="str">
        <f>HYPERLINK("https://www.compass.com/listing/425-west-50th-street-unit-12g-manhattan-ny-10019/29389215909390849/","425 W 50th St, Unit 12G")</f>
        <v>425 W 50th St, Unit 12G</v>
      </c>
      <c r="B1348" s="2" t="str">
        <f t="shared" ref="B1348:B1351" si="197">HYPERLINK("https://www.compass.com/building/stella-tower-manhattan-ny/281945855710262181/","Stella Tower")</f>
        <v>Stella Tower</v>
      </c>
      <c r="C1348" s="1" t="s">
        <v>67</v>
      </c>
      <c r="D1348" s="1" t="s">
        <v>41</v>
      </c>
      <c r="E1348" s="3">
        <v>3665700</v>
      </c>
      <c r="F1348" s="1">
        <v>2292.49530956848</v>
      </c>
      <c r="G1348" s="1">
        <v>4</v>
      </c>
      <c r="H1348" s="1">
        <v>2</v>
      </c>
      <c r="I1348" s="1">
        <v>3</v>
      </c>
      <c r="J1348" s="1">
        <v>2.5</v>
      </c>
      <c r="M1348" s="4">
        <v>1599</v>
      </c>
      <c r="N1348" s="1">
        <v>1811</v>
      </c>
      <c r="O1348" s="1">
        <v>2920</v>
      </c>
      <c r="P1348" s="1">
        <v>1109</v>
      </c>
      <c r="Q1348" s="1" t="s">
        <v>42</v>
      </c>
      <c r="S1348" s="1" t="s">
        <v>42</v>
      </c>
      <c r="T1348" s="1" t="s">
        <v>153</v>
      </c>
      <c r="U1348" s="1">
        <v>132</v>
      </c>
      <c r="V1348" s="5">
        <v>42081</v>
      </c>
      <c r="W1348" s="5">
        <v>41859</v>
      </c>
      <c r="X1348" s="1">
        <v>3600000</v>
      </c>
      <c r="Y1348" s="1">
        <v>3600000</v>
      </c>
      <c r="AA1348" s="1">
        <v>3665700</v>
      </c>
      <c r="AB1348" s="1" t="s">
        <v>1164</v>
      </c>
      <c r="AC1348" s="5">
        <v>42074</v>
      </c>
      <c r="AF1348" s="1">
        <v>10019</v>
      </c>
      <c r="AI1348" s="1" t="s">
        <v>45</v>
      </c>
      <c r="AJ1348" s="1">
        <v>1930</v>
      </c>
      <c r="AK1348" s="1" t="s">
        <v>46</v>
      </c>
      <c r="AL1348" s="1">
        <v>51</v>
      </c>
    </row>
    <row r="1349" spans="1:38" x14ac:dyDescent="0.2">
      <c r="A1349" s="2" t="str">
        <f>HYPERLINK("https://www.compass.com/listing/425-west-50th-street-unit-11b-manhattan-ny-10019/4852271140795585489/","425 W 50th St, Unit 11B")</f>
        <v>425 W 50th St, Unit 11B</v>
      </c>
      <c r="B1349" s="2" t="str">
        <f t="shared" si="197"/>
        <v>Stella Tower</v>
      </c>
      <c r="C1349" s="1" t="s">
        <v>67</v>
      </c>
      <c r="D1349" s="1" t="s">
        <v>41</v>
      </c>
      <c r="E1349" s="3">
        <v>5498550</v>
      </c>
      <c r="F1349" s="1">
        <v>3082.1468609865401</v>
      </c>
      <c r="G1349" s="1">
        <v>4</v>
      </c>
      <c r="H1349" s="1">
        <v>2</v>
      </c>
      <c r="I1349" s="1">
        <v>3</v>
      </c>
      <c r="J1349" s="1">
        <v>2.5</v>
      </c>
      <c r="M1349" s="4">
        <v>1784</v>
      </c>
      <c r="N1349" s="1">
        <v>2121</v>
      </c>
      <c r="O1349" s="1">
        <v>3420</v>
      </c>
      <c r="P1349" s="1">
        <v>1299</v>
      </c>
      <c r="Q1349" s="1" t="s">
        <v>42</v>
      </c>
      <c r="S1349" s="1" t="s">
        <v>42</v>
      </c>
      <c r="T1349" s="1" t="s">
        <v>153</v>
      </c>
      <c r="U1349" s="1">
        <v>8</v>
      </c>
      <c r="V1349" s="5">
        <v>43654</v>
      </c>
      <c r="W1349" s="5">
        <v>41781</v>
      </c>
      <c r="X1349" s="1">
        <v>5400000</v>
      </c>
      <c r="Y1349" s="1">
        <v>5400000</v>
      </c>
      <c r="Z1349" s="5">
        <v>41789</v>
      </c>
      <c r="AA1349" s="1">
        <v>5498550</v>
      </c>
      <c r="AB1349" s="1" t="s">
        <v>177</v>
      </c>
      <c r="AC1349" s="5">
        <v>42010</v>
      </c>
      <c r="AF1349" s="1">
        <v>10019</v>
      </c>
      <c r="AI1349" s="1" t="s">
        <v>233</v>
      </c>
      <c r="AJ1349" s="1">
        <v>1930</v>
      </c>
      <c r="AK1349" s="1" t="s">
        <v>46</v>
      </c>
      <c r="AL1349" s="1">
        <v>51</v>
      </c>
    </row>
    <row r="1350" spans="1:38" x14ac:dyDescent="0.2">
      <c r="A1350" s="2" t="str">
        <f>HYPERLINK("https://www.compass.com/listing/425-west-50th-street-unit-11f-manhattan-ny-10019/50847446535867729/","425 W 50th St, Unit 11F")</f>
        <v>425 W 50th St, Unit 11F</v>
      </c>
      <c r="B1350" s="2" t="str">
        <f t="shared" si="197"/>
        <v>Stella Tower</v>
      </c>
      <c r="C1350" s="1" t="s">
        <v>67</v>
      </c>
      <c r="D1350" s="1" t="s">
        <v>41</v>
      </c>
      <c r="E1350" s="3">
        <v>4480300</v>
      </c>
      <c r="F1350" s="1">
        <v>2478.0420353982299</v>
      </c>
      <c r="G1350" s="1">
        <v>5</v>
      </c>
      <c r="H1350" s="1">
        <v>2</v>
      </c>
      <c r="I1350" s="1">
        <v>3</v>
      </c>
      <c r="J1350" s="1">
        <v>2.5</v>
      </c>
      <c r="M1350" s="4">
        <v>1808</v>
      </c>
      <c r="N1350" s="1">
        <v>2046</v>
      </c>
      <c r="O1350" s="1">
        <v>3298</v>
      </c>
      <c r="P1350" s="1">
        <v>1252</v>
      </c>
      <c r="Q1350" s="1" t="s">
        <v>42</v>
      </c>
      <c r="S1350" s="1" t="s">
        <v>42</v>
      </c>
      <c r="T1350" s="1" t="s">
        <v>153</v>
      </c>
      <c r="V1350" s="5">
        <v>43641</v>
      </c>
      <c r="W1350" s="5">
        <v>41976</v>
      </c>
      <c r="X1350" s="1">
        <v>4400000</v>
      </c>
      <c r="Y1350" s="1">
        <v>4400000</v>
      </c>
      <c r="Z1350" s="5">
        <v>41976</v>
      </c>
      <c r="AA1350" s="1">
        <v>4480300</v>
      </c>
      <c r="AB1350" s="1" t="s">
        <v>177</v>
      </c>
      <c r="AC1350" s="5">
        <v>42011</v>
      </c>
      <c r="AF1350" s="1">
        <v>10019</v>
      </c>
      <c r="AI1350" s="1" t="s">
        <v>45</v>
      </c>
      <c r="AJ1350" s="1">
        <v>1930</v>
      </c>
      <c r="AK1350" s="1" t="s">
        <v>46</v>
      </c>
      <c r="AL1350" s="1">
        <v>51</v>
      </c>
    </row>
    <row r="1351" spans="1:38" x14ac:dyDescent="0.2">
      <c r="A1351" s="2" t="str">
        <f>HYPERLINK("https://www.compass.com/listing/425-west-50th-street-unit-12c-manhattan-ny-10019/29389212470004033/","425 W 50th St, Unit 12C")</f>
        <v>425 W 50th St, Unit 12C</v>
      </c>
      <c r="B1351" s="2" t="str">
        <f t="shared" si="197"/>
        <v>Stella Tower</v>
      </c>
      <c r="C1351" s="1" t="s">
        <v>67</v>
      </c>
      <c r="D1351" s="1" t="s">
        <v>41</v>
      </c>
      <c r="E1351" s="3">
        <v>3767525</v>
      </c>
      <c r="F1351" s="1">
        <v>2247.9266109785199</v>
      </c>
      <c r="G1351" s="1">
        <v>4</v>
      </c>
      <c r="H1351" s="1">
        <v>2</v>
      </c>
      <c r="I1351" s="1">
        <v>2</v>
      </c>
      <c r="J1351" s="1">
        <v>2</v>
      </c>
      <c r="M1351" s="4">
        <v>1676</v>
      </c>
      <c r="N1351" s="1">
        <v>1898</v>
      </c>
      <c r="O1351" s="1">
        <v>3060</v>
      </c>
      <c r="P1351" s="1">
        <v>1162</v>
      </c>
      <c r="Q1351" s="1" t="s">
        <v>42</v>
      </c>
      <c r="S1351" s="1" t="s">
        <v>42</v>
      </c>
      <c r="T1351" s="1" t="s">
        <v>153</v>
      </c>
      <c r="U1351" s="1">
        <v>132</v>
      </c>
      <c r="V1351" s="5">
        <v>43670</v>
      </c>
      <c r="W1351" s="5">
        <v>41860</v>
      </c>
      <c r="X1351" s="1">
        <v>3700000</v>
      </c>
      <c r="Y1351" s="1">
        <v>3700000</v>
      </c>
      <c r="AA1351" s="1">
        <v>3767525</v>
      </c>
      <c r="AB1351" s="1" t="s">
        <v>1165</v>
      </c>
      <c r="AC1351" s="5">
        <v>42076</v>
      </c>
      <c r="AF1351" s="1">
        <v>10019</v>
      </c>
      <c r="AI1351" s="1" t="s">
        <v>45</v>
      </c>
      <c r="AJ1351" s="1">
        <v>1930</v>
      </c>
      <c r="AK1351" s="1" t="s">
        <v>46</v>
      </c>
      <c r="AL1351" s="1">
        <v>51</v>
      </c>
    </row>
    <row r="1352" spans="1:38" x14ac:dyDescent="0.2">
      <c r="A1352" s="2" t="str">
        <f>HYPERLINK("https://www.compass.com/listing/159-west-126th-street-unit-3b-manhattan-ny-10027/455121799941140913/","159 W 126th St, Unit 3B")</f>
        <v>159 W 126th St, Unit 3B</v>
      </c>
      <c r="B1352" s="2" t="str">
        <f t="shared" ref="B1352:B1355" si="198">HYPERLINK("https://www.compass.com/building/159-w-126th-st-manhattan-ny-10027/281979329234174885/","159 W 126th St")</f>
        <v>159 W 126th St</v>
      </c>
      <c r="C1352" s="1" t="s">
        <v>141</v>
      </c>
      <c r="D1352" s="1" t="s">
        <v>41</v>
      </c>
      <c r="E1352" s="3">
        <v>966319</v>
      </c>
      <c r="F1352" s="1">
        <v>949.23305500982303</v>
      </c>
      <c r="G1352" s="1">
        <v>4</v>
      </c>
      <c r="H1352" s="1">
        <v>2</v>
      </c>
      <c r="I1352" s="1">
        <v>2</v>
      </c>
      <c r="J1352" s="1">
        <v>2</v>
      </c>
      <c r="M1352" s="4">
        <v>1018</v>
      </c>
      <c r="N1352" s="1">
        <v>346</v>
      </c>
      <c r="O1352" s="1">
        <v>649</v>
      </c>
      <c r="P1352" s="1">
        <v>303</v>
      </c>
      <c r="Q1352" s="1" t="s">
        <v>42</v>
      </c>
      <c r="S1352" s="1" t="s">
        <v>42</v>
      </c>
      <c r="T1352" s="1" t="s">
        <v>153</v>
      </c>
      <c r="U1352" s="1">
        <v>173</v>
      </c>
      <c r="V1352" s="5">
        <v>41640</v>
      </c>
      <c r="W1352" s="5">
        <v>42294</v>
      </c>
      <c r="X1352" s="1">
        <v>959000</v>
      </c>
      <c r="Y1352" s="1">
        <v>949000</v>
      </c>
      <c r="Z1352" s="5">
        <v>42467</v>
      </c>
      <c r="AA1352" s="1">
        <v>966319.25</v>
      </c>
      <c r="AB1352" s="1" t="s">
        <v>1166</v>
      </c>
      <c r="AC1352" s="5">
        <v>42480</v>
      </c>
      <c r="AF1352" s="1">
        <v>10027</v>
      </c>
      <c r="AI1352" s="1" t="s">
        <v>1167</v>
      </c>
      <c r="AJ1352" s="1">
        <v>1910</v>
      </c>
      <c r="AL1352" s="1">
        <v>10</v>
      </c>
    </row>
    <row r="1353" spans="1:38" x14ac:dyDescent="0.2">
      <c r="A1353" s="2" t="str">
        <f>HYPERLINK("https://www.compass.com/listing/159-west-126th-street-unit-1a-manhattan-ny-10027/455123592655545049/","159 W 126th St, Unit 1A")</f>
        <v>159 W 126th St, Unit 1A</v>
      </c>
      <c r="B1353" s="2" t="str">
        <f t="shared" si="198"/>
        <v>159 W 126th St</v>
      </c>
      <c r="C1353" s="1" t="s">
        <v>141</v>
      </c>
      <c r="D1353" s="1" t="s">
        <v>41</v>
      </c>
      <c r="E1353" s="3">
        <v>915407</v>
      </c>
      <c r="F1353" s="1">
        <v>1017.11861111111</v>
      </c>
      <c r="G1353" s="1">
        <v>4</v>
      </c>
      <c r="H1353" s="1">
        <v>2</v>
      </c>
      <c r="I1353" s="1">
        <v>3</v>
      </c>
      <c r="J1353" s="1">
        <v>2.5</v>
      </c>
      <c r="M1353" s="1">
        <v>900</v>
      </c>
      <c r="N1353" s="1">
        <v>309</v>
      </c>
      <c r="O1353" s="1">
        <v>580</v>
      </c>
      <c r="P1353" s="1">
        <v>271</v>
      </c>
      <c r="Q1353" s="1" t="s">
        <v>42</v>
      </c>
      <c r="S1353" s="1" t="s">
        <v>42</v>
      </c>
      <c r="T1353" s="1" t="s">
        <v>153</v>
      </c>
      <c r="U1353" s="1">
        <v>88</v>
      </c>
      <c r="V1353" s="5">
        <v>41640</v>
      </c>
      <c r="W1353" s="5">
        <v>42251</v>
      </c>
      <c r="X1353" s="1">
        <v>929000</v>
      </c>
      <c r="Y1353" s="1">
        <v>899000</v>
      </c>
      <c r="Z1353" s="5">
        <v>42340</v>
      </c>
      <c r="AA1353" s="1">
        <v>915406.75</v>
      </c>
      <c r="AB1353" s="1" t="s">
        <v>1168</v>
      </c>
      <c r="AC1353" s="5">
        <v>42492</v>
      </c>
      <c r="AF1353" s="1">
        <v>10027</v>
      </c>
      <c r="AI1353" s="1" t="s">
        <v>1005</v>
      </c>
      <c r="AJ1353" s="1">
        <v>1910</v>
      </c>
      <c r="AL1353" s="1">
        <v>10</v>
      </c>
    </row>
    <row r="1354" spans="1:38" x14ac:dyDescent="0.2">
      <c r="A1354" s="2" t="str">
        <f>HYPERLINK("https://www.compass.com/listing/159-west-126th-street-unit-2a-manhattan-ny-10027/455124143667560873/","159 W 126th St, Unit 2A")</f>
        <v>159 W 126th St, Unit 2A</v>
      </c>
      <c r="B1354" s="2" t="str">
        <f t="shared" si="198"/>
        <v>159 W 126th St</v>
      </c>
      <c r="C1354" s="1" t="s">
        <v>141</v>
      </c>
      <c r="D1354" s="1" t="s">
        <v>41</v>
      </c>
      <c r="E1354" s="3">
        <v>945954</v>
      </c>
      <c r="F1354" s="1">
        <v>964.27548419979598</v>
      </c>
      <c r="G1354" s="1">
        <v>4</v>
      </c>
      <c r="H1354" s="1">
        <v>2</v>
      </c>
      <c r="I1354" s="1">
        <v>2</v>
      </c>
      <c r="J1354" s="1">
        <v>2</v>
      </c>
      <c r="M1354" s="1">
        <v>981</v>
      </c>
      <c r="N1354" s="1">
        <v>337</v>
      </c>
      <c r="O1354" s="1">
        <v>631</v>
      </c>
      <c r="P1354" s="1">
        <v>294</v>
      </c>
      <c r="Q1354" s="1" t="s">
        <v>42</v>
      </c>
      <c r="S1354" s="1" t="s">
        <v>42</v>
      </c>
      <c r="T1354" s="1" t="s">
        <v>153</v>
      </c>
      <c r="U1354" s="1">
        <v>115</v>
      </c>
      <c r="V1354" s="5">
        <v>41640</v>
      </c>
      <c r="W1354" s="5">
        <v>42273</v>
      </c>
      <c r="X1354" s="1">
        <v>975000</v>
      </c>
      <c r="Y1354" s="1">
        <v>929000</v>
      </c>
      <c r="Z1354" s="5">
        <v>42388</v>
      </c>
      <c r="AA1354" s="1">
        <v>945954.25</v>
      </c>
      <c r="AB1354" s="1" t="s">
        <v>1169</v>
      </c>
      <c r="AC1354" s="5">
        <v>42500</v>
      </c>
      <c r="AF1354" s="1">
        <v>10027</v>
      </c>
      <c r="AI1354" s="1" t="s">
        <v>1167</v>
      </c>
      <c r="AJ1354" s="1">
        <v>1910</v>
      </c>
      <c r="AL1354" s="1">
        <v>10</v>
      </c>
    </row>
    <row r="1355" spans="1:38" x14ac:dyDescent="0.2">
      <c r="A1355" s="2" t="str">
        <f>HYPERLINK("https://www.compass.com/listing/159-west-126th-street-unit-1b-manhattan-ny-10027/455124560952621537/","159 W 126th St, Unit 1B")</f>
        <v>159 W 126th St, Unit 1B</v>
      </c>
      <c r="B1355" s="2" t="str">
        <f t="shared" si="198"/>
        <v>159 W 126th St</v>
      </c>
      <c r="C1355" s="1" t="s">
        <v>141</v>
      </c>
      <c r="D1355" s="1" t="s">
        <v>41</v>
      </c>
      <c r="E1355" s="3">
        <v>925589</v>
      </c>
      <c r="F1355" s="1">
        <v>973.27996845425798</v>
      </c>
      <c r="G1355" s="1">
        <v>4</v>
      </c>
      <c r="H1355" s="1">
        <v>2</v>
      </c>
      <c r="I1355" s="1">
        <v>2</v>
      </c>
      <c r="J1355" s="1">
        <v>2</v>
      </c>
      <c r="M1355" s="1">
        <v>951</v>
      </c>
      <c r="N1355" s="1">
        <v>339</v>
      </c>
      <c r="O1355" s="1">
        <v>635</v>
      </c>
      <c r="P1355" s="1">
        <v>296</v>
      </c>
      <c r="Q1355" s="1" t="s">
        <v>42</v>
      </c>
      <c r="S1355" s="1" t="s">
        <v>42</v>
      </c>
      <c r="T1355" s="1" t="s">
        <v>153</v>
      </c>
      <c r="U1355" s="1">
        <v>123</v>
      </c>
      <c r="V1355" s="5">
        <v>41640</v>
      </c>
      <c r="W1355" s="5">
        <v>42294</v>
      </c>
      <c r="X1355" s="1">
        <v>949000</v>
      </c>
      <c r="Y1355" s="1">
        <v>909000</v>
      </c>
      <c r="Z1355" s="5">
        <v>42417</v>
      </c>
      <c r="AA1355" s="1">
        <v>925589.25</v>
      </c>
      <c r="AB1355" s="1" t="s">
        <v>1170</v>
      </c>
      <c r="AC1355" s="5">
        <v>42481</v>
      </c>
      <c r="AF1355" s="1">
        <v>10027</v>
      </c>
      <c r="AI1355" s="1" t="s">
        <v>1005</v>
      </c>
      <c r="AJ1355" s="1">
        <v>1910</v>
      </c>
      <c r="AL1355" s="1">
        <v>10</v>
      </c>
    </row>
    <row r="1356" spans="1:38" x14ac:dyDescent="0.2">
      <c r="A1356" s="2" t="str">
        <f>HYPERLINK("https://www.compass.com/listing/425-west-50th-street-unit-15f-manhattan-ny-10019/29389223845014209/","425 W 50th St, Unit 15F")</f>
        <v>425 W 50th St, Unit 15F</v>
      </c>
      <c r="B1356" s="2" t="str">
        <f t="shared" ref="B1356:B1363" si="199">HYPERLINK("https://www.compass.com/building/stella-tower-manhattan-ny/281945855710262181/","Stella Tower")</f>
        <v>Stella Tower</v>
      </c>
      <c r="C1356" s="1" t="s">
        <v>67</v>
      </c>
      <c r="D1356" s="1" t="s">
        <v>41</v>
      </c>
      <c r="E1356" s="3">
        <v>5595283</v>
      </c>
      <c r="F1356" s="1">
        <v>2544.46703046839</v>
      </c>
      <c r="G1356" s="1">
        <v>5</v>
      </c>
      <c r="H1356" s="1">
        <v>3</v>
      </c>
      <c r="I1356" s="1">
        <v>4</v>
      </c>
      <c r="J1356" s="1">
        <v>0.5</v>
      </c>
      <c r="L1356" s="1">
        <v>1</v>
      </c>
      <c r="M1356" s="4">
        <v>2199</v>
      </c>
      <c r="N1356" s="1">
        <v>2497</v>
      </c>
      <c r="O1356" s="1">
        <v>4026</v>
      </c>
      <c r="P1356" s="1">
        <v>1529</v>
      </c>
      <c r="Q1356" s="1" t="s">
        <v>42</v>
      </c>
      <c r="S1356" s="1" t="s">
        <v>42</v>
      </c>
      <c r="T1356" s="1" t="s">
        <v>153</v>
      </c>
      <c r="U1356" s="1">
        <v>11</v>
      </c>
      <c r="V1356" s="5">
        <v>43661</v>
      </c>
      <c r="W1356" s="5">
        <v>42262</v>
      </c>
      <c r="X1356" s="1">
        <v>5495000</v>
      </c>
      <c r="Y1356" s="1">
        <v>5495000</v>
      </c>
      <c r="Z1356" s="5">
        <v>42273</v>
      </c>
      <c r="AA1356" s="1">
        <v>5595283</v>
      </c>
      <c r="AB1356" s="1" t="s">
        <v>1171</v>
      </c>
      <c r="AC1356" s="5">
        <v>42328</v>
      </c>
      <c r="AF1356" s="1">
        <v>10019</v>
      </c>
      <c r="AI1356" s="1" t="s">
        <v>45</v>
      </c>
      <c r="AJ1356" s="1">
        <v>1930</v>
      </c>
      <c r="AK1356" s="1" t="s">
        <v>46</v>
      </c>
      <c r="AL1356" s="1">
        <v>51</v>
      </c>
    </row>
    <row r="1357" spans="1:38" x14ac:dyDescent="0.2">
      <c r="A1357" s="2" t="str">
        <f>HYPERLINK("https://www.compass.com/listing/425-west-50th-street-unit-14e-manhattan-ny-10019/29389220657285665/","425 W 50th St, Unit 14E")</f>
        <v>425 W 50th St, Unit 14E</v>
      </c>
      <c r="B1357" s="2" t="str">
        <f t="shared" si="199"/>
        <v>Stella Tower</v>
      </c>
      <c r="C1357" s="1" t="s">
        <v>67</v>
      </c>
      <c r="D1357" s="1" t="s">
        <v>41</v>
      </c>
      <c r="E1357" s="3">
        <v>5345813</v>
      </c>
      <c r="F1357" s="1">
        <v>3095.4331210190999</v>
      </c>
      <c r="G1357" s="1">
        <v>4</v>
      </c>
      <c r="H1357" s="1">
        <v>2</v>
      </c>
      <c r="I1357" s="1">
        <v>3</v>
      </c>
      <c r="J1357" s="1">
        <v>2.5</v>
      </c>
      <c r="M1357" s="4">
        <v>1727</v>
      </c>
      <c r="N1357" s="1">
        <v>2069</v>
      </c>
      <c r="O1357" s="1">
        <v>3336</v>
      </c>
      <c r="P1357" s="1">
        <v>1267</v>
      </c>
      <c r="Q1357" s="1" t="s">
        <v>42</v>
      </c>
      <c r="S1357" s="1" t="s">
        <v>42</v>
      </c>
      <c r="T1357" s="1" t="s">
        <v>153</v>
      </c>
      <c r="V1357" s="5">
        <v>43655</v>
      </c>
      <c r="W1357" s="5">
        <v>41976</v>
      </c>
      <c r="X1357" s="1">
        <v>5250000</v>
      </c>
      <c r="Y1357" s="1">
        <v>5250000</v>
      </c>
      <c r="Z1357" s="5">
        <v>41976</v>
      </c>
      <c r="AA1357" s="1">
        <v>5345813</v>
      </c>
      <c r="AB1357" s="1" t="s">
        <v>1172</v>
      </c>
      <c r="AC1357" s="5">
        <v>42018</v>
      </c>
      <c r="AF1357" s="1">
        <v>10019</v>
      </c>
      <c r="AI1357" s="1" t="s">
        <v>233</v>
      </c>
      <c r="AJ1357" s="1">
        <v>1930</v>
      </c>
      <c r="AK1357" s="1" t="s">
        <v>46</v>
      </c>
      <c r="AL1357" s="1">
        <v>51</v>
      </c>
    </row>
    <row r="1358" spans="1:38" x14ac:dyDescent="0.2">
      <c r="A1358" s="2" t="str">
        <f>HYPERLINK("https://www.compass.com/listing/425-west-50th-street-unit-16c-manhattan-ny-10019/29389226076394113/","425 W 50th St, Unit 16C")</f>
        <v>425 W 50th St, Unit 16C</v>
      </c>
      <c r="B1358" s="2" t="str">
        <f t="shared" si="199"/>
        <v>Stella Tower</v>
      </c>
      <c r="C1358" s="1" t="s">
        <v>67</v>
      </c>
      <c r="D1358" s="1" t="s">
        <v>41</v>
      </c>
      <c r="E1358" s="3">
        <v>3515963</v>
      </c>
      <c r="F1358" s="1">
        <v>2035.8789808917099</v>
      </c>
      <c r="G1358" s="1">
        <v>4</v>
      </c>
      <c r="H1358" s="1">
        <v>2</v>
      </c>
      <c r="I1358" s="1">
        <v>3</v>
      </c>
      <c r="J1358" s="1">
        <v>2.5</v>
      </c>
      <c r="M1358" s="4">
        <v>1727</v>
      </c>
      <c r="N1358" s="1">
        <v>1963</v>
      </c>
      <c r="O1358" s="1">
        <v>3959</v>
      </c>
      <c r="P1358" s="1">
        <v>1996</v>
      </c>
      <c r="Q1358" s="1" t="s">
        <v>42</v>
      </c>
      <c r="S1358" s="1" t="s">
        <v>42</v>
      </c>
      <c r="T1358" s="1" t="s">
        <v>153</v>
      </c>
      <c r="U1358" s="1">
        <v>400</v>
      </c>
      <c r="V1358" s="5">
        <v>43682</v>
      </c>
      <c r="W1358" s="5">
        <v>42355</v>
      </c>
      <c r="X1358" s="1">
        <v>4350000</v>
      </c>
      <c r="Y1358" s="1">
        <v>3495000</v>
      </c>
      <c r="Z1358" s="5">
        <v>42755</v>
      </c>
      <c r="AA1358" s="1">
        <v>3515963</v>
      </c>
      <c r="AB1358" s="1" t="s">
        <v>1153</v>
      </c>
      <c r="AC1358" s="5">
        <v>42826</v>
      </c>
      <c r="AF1358" s="1">
        <v>10019</v>
      </c>
      <c r="AI1358" s="1" t="s">
        <v>45</v>
      </c>
      <c r="AJ1358" s="1">
        <v>1930</v>
      </c>
      <c r="AK1358" s="1" t="s">
        <v>46</v>
      </c>
      <c r="AL1358" s="1">
        <v>51</v>
      </c>
    </row>
    <row r="1359" spans="1:38" x14ac:dyDescent="0.2">
      <c r="A1359" s="2" t="str">
        <f>HYPERLINK("https://www.compass.com/listing/425-west-50th-street-unit-10f-manhattan-ny-10019/29389205448806545/","425 W 50th St, Unit 10F")</f>
        <v>425 W 50th St, Unit 10F</v>
      </c>
      <c r="B1359" s="2" t="str">
        <f t="shared" si="199"/>
        <v>Stella Tower</v>
      </c>
      <c r="C1359" s="1" t="s">
        <v>67</v>
      </c>
      <c r="D1359" s="1" t="s">
        <v>41</v>
      </c>
      <c r="E1359" s="3">
        <v>4582125</v>
      </c>
      <c r="F1359" s="1">
        <v>2516.2685337726498</v>
      </c>
      <c r="G1359" s="1">
        <v>5</v>
      </c>
      <c r="H1359" s="1">
        <v>2</v>
      </c>
      <c r="I1359" s="1">
        <v>3</v>
      </c>
      <c r="J1359" s="1">
        <v>2.5</v>
      </c>
      <c r="M1359" s="4">
        <v>1821</v>
      </c>
      <c r="N1359" s="1">
        <v>2057</v>
      </c>
      <c r="O1359" s="1">
        <v>3317</v>
      </c>
      <c r="P1359" s="1">
        <v>1260</v>
      </c>
      <c r="Q1359" s="1" t="s">
        <v>42</v>
      </c>
      <c r="S1359" s="1" t="s">
        <v>42</v>
      </c>
      <c r="T1359" s="1" t="s">
        <v>153</v>
      </c>
      <c r="U1359" s="1">
        <v>91</v>
      </c>
      <c r="V1359" s="5">
        <v>43654</v>
      </c>
      <c r="W1359" s="5">
        <v>41976</v>
      </c>
      <c r="X1359" s="1">
        <v>4500000</v>
      </c>
      <c r="Y1359" s="1">
        <v>4500000</v>
      </c>
      <c r="Z1359" s="5">
        <v>42067</v>
      </c>
      <c r="AA1359" s="1">
        <v>4582125</v>
      </c>
      <c r="AB1359" s="1" t="s">
        <v>1173</v>
      </c>
      <c r="AC1359" s="5">
        <v>42088</v>
      </c>
      <c r="AF1359" s="1">
        <v>10019</v>
      </c>
      <c r="AI1359" s="1" t="s">
        <v>45</v>
      </c>
      <c r="AJ1359" s="1">
        <v>1930</v>
      </c>
      <c r="AK1359" s="1" t="s">
        <v>46</v>
      </c>
      <c r="AL1359" s="1">
        <v>51</v>
      </c>
    </row>
    <row r="1360" spans="1:38" x14ac:dyDescent="0.2">
      <c r="A1360" s="2" t="str">
        <f>HYPERLINK("https://www.compass.com/listing/425-west-50th-street-unit-14b-manhattan-ny-10019/29389218702739937/","425 W 50th St, Unit 14B")</f>
        <v>425 W 50th St, Unit 14B</v>
      </c>
      <c r="B1360" s="2" t="str">
        <f t="shared" si="199"/>
        <v>Stella Tower</v>
      </c>
      <c r="C1360" s="1" t="s">
        <v>67</v>
      </c>
      <c r="D1360" s="1" t="s">
        <v>41</v>
      </c>
      <c r="E1360" s="3">
        <v>4073000</v>
      </c>
      <c r="F1360" s="1">
        <v>2602.5559105431298</v>
      </c>
      <c r="G1360" s="1">
        <v>5</v>
      </c>
      <c r="H1360" s="1">
        <v>2</v>
      </c>
      <c r="I1360" s="1">
        <v>3</v>
      </c>
      <c r="J1360" s="1">
        <v>2.5</v>
      </c>
      <c r="K1360" s="1">
        <v>2</v>
      </c>
      <c r="L1360" s="1">
        <v>1</v>
      </c>
      <c r="M1360" s="4">
        <v>1565</v>
      </c>
      <c r="N1360" s="1">
        <v>1940</v>
      </c>
      <c r="O1360" s="1">
        <v>3128</v>
      </c>
      <c r="P1360" s="1">
        <v>1188</v>
      </c>
      <c r="Q1360" s="1" t="s">
        <v>42</v>
      </c>
      <c r="S1360" s="1" t="s">
        <v>42</v>
      </c>
      <c r="T1360" s="1" t="s">
        <v>153</v>
      </c>
      <c r="V1360" s="5">
        <v>44225</v>
      </c>
      <c r="W1360" s="5">
        <v>41976</v>
      </c>
      <c r="X1360" s="1">
        <v>4000000</v>
      </c>
      <c r="Y1360" s="1">
        <v>4000000</v>
      </c>
      <c r="Z1360" s="5">
        <v>41976</v>
      </c>
      <c r="AA1360" s="1">
        <v>4073000</v>
      </c>
      <c r="AB1360" s="1" t="s">
        <v>1174</v>
      </c>
      <c r="AC1360" s="5">
        <v>42073</v>
      </c>
      <c r="AF1360" s="1">
        <v>10019</v>
      </c>
      <c r="AI1360" s="1" t="s">
        <v>80</v>
      </c>
      <c r="AJ1360" s="1">
        <v>1930</v>
      </c>
      <c r="AK1360" s="1" t="s">
        <v>46</v>
      </c>
      <c r="AL1360" s="1">
        <v>51</v>
      </c>
    </row>
    <row r="1361" spans="1:38" x14ac:dyDescent="0.2">
      <c r="A1361" s="2" t="str">
        <f>HYPERLINK("https://www.compass.com/listing/425-west-50th-street-unit-15e-manhattan-ny-10019/29389222544790081/","425 W 50th St, Unit 15E")</f>
        <v>425 W 50th St, Unit 15E</v>
      </c>
      <c r="B1361" s="2" t="str">
        <f t="shared" si="199"/>
        <v>Stella Tower</v>
      </c>
      <c r="C1361" s="1" t="s">
        <v>67</v>
      </c>
      <c r="D1361" s="1" t="s">
        <v>41</v>
      </c>
      <c r="E1361" s="3">
        <v>4073000</v>
      </c>
      <c r="F1361" s="1">
        <v>2358.4250144759699</v>
      </c>
      <c r="G1361" s="1">
        <v>4</v>
      </c>
      <c r="H1361" s="1">
        <v>2</v>
      </c>
      <c r="I1361" s="1">
        <v>3</v>
      </c>
      <c r="J1361" s="1">
        <v>2.5</v>
      </c>
      <c r="K1361" s="1">
        <v>2</v>
      </c>
      <c r="L1361" s="1">
        <v>1</v>
      </c>
      <c r="M1361" s="4">
        <v>1727</v>
      </c>
      <c r="N1361" s="1">
        <v>1961</v>
      </c>
      <c r="O1361" s="1">
        <v>3162</v>
      </c>
      <c r="P1361" s="1">
        <v>1201</v>
      </c>
      <c r="Q1361" s="1" t="s">
        <v>42</v>
      </c>
      <c r="S1361" s="1" t="s">
        <v>42</v>
      </c>
      <c r="T1361" s="1" t="s">
        <v>153</v>
      </c>
      <c r="V1361" s="5">
        <v>44352</v>
      </c>
      <c r="W1361" s="5">
        <v>41976</v>
      </c>
      <c r="X1361" s="1">
        <v>4000000</v>
      </c>
      <c r="Y1361" s="1">
        <v>4000000</v>
      </c>
      <c r="Z1361" s="5">
        <v>41976</v>
      </c>
      <c r="AA1361" s="1">
        <v>4073000</v>
      </c>
      <c r="AB1361" s="1" t="s">
        <v>1175</v>
      </c>
      <c r="AC1361" s="5">
        <v>42003</v>
      </c>
      <c r="AF1361" s="1">
        <v>10019</v>
      </c>
      <c r="AI1361" s="1" t="s">
        <v>45</v>
      </c>
      <c r="AJ1361" s="1">
        <v>1930</v>
      </c>
      <c r="AK1361" s="1" t="s">
        <v>46</v>
      </c>
      <c r="AL1361" s="1">
        <v>51</v>
      </c>
    </row>
    <row r="1362" spans="1:38" x14ac:dyDescent="0.2">
      <c r="A1362" s="2" t="str">
        <f>HYPERLINK("https://www.compass.com/listing/425-west-50th-street-unit-16a-manhattan-ny-10019/29389224893532817/","425 W 50th St, Unit 16A")</f>
        <v>425 W 50th St, Unit 16A</v>
      </c>
      <c r="B1362" s="2" t="str">
        <f t="shared" si="199"/>
        <v>Stella Tower</v>
      </c>
      <c r="C1362" s="1" t="s">
        <v>67</v>
      </c>
      <c r="D1362" s="1" t="s">
        <v>41</v>
      </c>
      <c r="E1362" s="3">
        <v>5905850</v>
      </c>
      <c r="F1362" s="1">
        <v>2593.6978480456701</v>
      </c>
      <c r="G1362" s="1">
        <v>4</v>
      </c>
      <c r="H1362" s="1">
        <v>2</v>
      </c>
      <c r="I1362" s="1">
        <v>3</v>
      </c>
      <c r="J1362" s="1">
        <v>2.5</v>
      </c>
      <c r="M1362" s="4">
        <v>2277</v>
      </c>
      <c r="N1362" s="1">
        <v>2794</v>
      </c>
      <c r="O1362" s="1">
        <v>4505</v>
      </c>
      <c r="P1362" s="1">
        <v>1711</v>
      </c>
      <c r="Q1362" s="1" t="s">
        <v>42</v>
      </c>
      <c r="S1362" s="1" t="s">
        <v>42</v>
      </c>
      <c r="T1362" s="1" t="s">
        <v>153</v>
      </c>
      <c r="V1362" s="5">
        <v>43654</v>
      </c>
      <c r="W1362" s="5">
        <v>41976</v>
      </c>
      <c r="X1362" s="1">
        <v>5800000</v>
      </c>
      <c r="Y1362" s="1">
        <v>5800000</v>
      </c>
      <c r="Z1362" s="5">
        <v>41976</v>
      </c>
      <c r="AA1362" s="1">
        <v>5905850</v>
      </c>
      <c r="AB1362" s="1" t="s">
        <v>1176</v>
      </c>
      <c r="AC1362" s="5">
        <v>42034</v>
      </c>
      <c r="AF1362" s="1">
        <v>10019</v>
      </c>
      <c r="AI1362" s="1" t="s">
        <v>233</v>
      </c>
      <c r="AJ1362" s="1">
        <v>1930</v>
      </c>
      <c r="AK1362" s="1" t="s">
        <v>46</v>
      </c>
      <c r="AL1362" s="1">
        <v>51</v>
      </c>
    </row>
    <row r="1363" spans="1:38" x14ac:dyDescent="0.2">
      <c r="A1363" s="2" t="str">
        <f>HYPERLINK("https://www.compass.com/listing/425-west-50th-street-unit-10g-manhattan-ny-10019/4852318249213244417/","425 W 50th St, Unit 10G")</f>
        <v>425 W 50th St, Unit 10G</v>
      </c>
      <c r="B1363" s="2" t="str">
        <f t="shared" si="199"/>
        <v>Stella Tower</v>
      </c>
      <c r="C1363" s="1" t="s">
        <v>67</v>
      </c>
      <c r="D1363" s="1" t="s">
        <v>41</v>
      </c>
      <c r="E1363" s="3">
        <v>4429387</v>
      </c>
      <c r="F1363" s="1">
        <v>2352.3032395114101</v>
      </c>
      <c r="G1363" s="1">
        <v>4</v>
      </c>
      <c r="H1363" s="1">
        <v>2</v>
      </c>
      <c r="I1363" s="1">
        <v>3</v>
      </c>
      <c r="J1363" s="1">
        <v>2.5</v>
      </c>
      <c r="M1363" s="4">
        <v>1883</v>
      </c>
      <c r="N1363" s="1">
        <v>2127</v>
      </c>
      <c r="O1363" s="1">
        <v>3429</v>
      </c>
      <c r="P1363" s="1">
        <v>1302</v>
      </c>
      <c r="Q1363" s="1" t="s">
        <v>42</v>
      </c>
      <c r="S1363" s="1" t="s">
        <v>42</v>
      </c>
      <c r="T1363" s="1" t="s">
        <v>153</v>
      </c>
      <c r="V1363" s="5">
        <v>43654</v>
      </c>
      <c r="W1363" s="5">
        <v>41976</v>
      </c>
      <c r="X1363" s="1">
        <v>4350000</v>
      </c>
      <c r="Y1363" s="1">
        <v>4350000</v>
      </c>
      <c r="Z1363" s="5">
        <v>41976</v>
      </c>
      <c r="AA1363" s="1">
        <v>4429387</v>
      </c>
      <c r="AB1363" s="1" t="s">
        <v>177</v>
      </c>
      <c r="AC1363" s="5">
        <v>42017</v>
      </c>
      <c r="AF1363" s="1">
        <v>10019</v>
      </c>
      <c r="AI1363" s="1" t="s">
        <v>45</v>
      </c>
      <c r="AJ1363" s="1">
        <v>1930</v>
      </c>
      <c r="AK1363" s="1" t="s">
        <v>46</v>
      </c>
      <c r="AL1363" s="1">
        <v>51</v>
      </c>
    </row>
    <row r="1364" spans="1:38" x14ac:dyDescent="0.2">
      <c r="A1364" s="2" t="str">
        <f>HYPERLINK("https://www.compass.com/listing/159-west-126th-street-unit-4b-manhattan-ny-10027/455086847488634513/","159 W 126th St, Unit 4B")</f>
        <v>159 W 126th St, Unit 4B</v>
      </c>
      <c r="B1364" s="2" t="str">
        <f t="shared" ref="B1364:B1367" si="200">HYPERLINK("https://www.compass.com/building/159-w-126th-st-manhattan-ny-10027/281979329234174885/","159 W 126th St")</f>
        <v>159 W 126th St</v>
      </c>
      <c r="C1364" s="1" t="s">
        <v>141</v>
      </c>
      <c r="D1364" s="1" t="s">
        <v>41</v>
      </c>
      <c r="E1364" s="3">
        <v>733140</v>
      </c>
      <c r="F1364" s="1">
        <v>1008.44566712517</v>
      </c>
      <c r="G1364" s="1">
        <v>4</v>
      </c>
      <c r="H1364" s="1">
        <v>2</v>
      </c>
      <c r="I1364" s="1">
        <v>1</v>
      </c>
      <c r="J1364" s="1">
        <v>1</v>
      </c>
      <c r="M1364" s="1">
        <v>727</v>
      </c>
      <c r="N1364" s="1">
        <v>295</v>
      </c>
      <c r="O1364" s="1">
        <v>553</v>
      </c>
      <c r="P1364" s="1">
        <v>258</v>
      </c>
      <c r="Q1364" s="1" t="s">
        <v>42</v>
      </c>
      <c r="S1364" s="1" t="s">
        <v>42</v>
      </c>
      <c r="T1364" s="1" t="s">
        <v>153</v>
      </c>
      <c r="U1364" s="1">
        <v>41</v>
      </c>
      <c r="V1364" s="5">
        <v>41640</v>
      </c>
      <c r="W1364" s="5">
        <v>42273</v>
      </c>
      <c r="X1364" s="1">
        <v>749000</v>
      </c>
      <c r="Y1364" s="1">
        <v>749000</v>
      </c>
      <c r="Z1364" s="5">
        <v>42314</v>
      </c>
      <c r="AA1364" s="1">
        <v>733140</v>
      </c>
      <c r="AB1364" s="1" t="s">
        <v>1177</v>
      </c>
      <c r="AC1364" s="5">
        <v>42492</v>
      </c>
      <c r="AF1364" s="1">
        <v>10027</v>
      </c>
      <c r="AI1364" s="1" t="s">
        <v>1167</v>
      </c>
      <c r="AJ1364" s="1">
        <v>1910</v>
      </c>
      <c r="AL1364" s="1">
        <v>10</v>
      </c>
    </row>
    <row r="1365" spans="1:38" x14ac:dyDescent="0.2">
      <c r="A1365" s="2" t="str">
        <f>HYPERLINK("https://www.compass.com/listing/159-west-126th-street-unit-4a-manhattan-ny-10027/455129707193696777/","159 W 126th St, Unit 4A")</f>
        <v>159 W 126th St, Unit 4A</v>
      </c>
      <c r="B1365" s="2" t="str">
        <f t="shared" si="200"/>
        <v>159 W 126th St</v>
      </c>
      <c r="C1365" s="1" t="s">
        <v>141</v>
      </c>
      <c r="D1365" s="1" t="s">
        <v>41</v>
      </c>
      <c r="E1365" s="3">
        <v>732122</v>
      </c>
      <c r="F1365" s="1">
        <v>1041.42496443812</v>
      </c>
      <c r="G1365" s="1">
        <v>4</v>
      </c>
      <c r="H1365" s="1">
        <v>2</v>
      </c>
      <c r="I1365" s="1">
        <v>1</v>
      </c>
      <c r="J1365" s="1">
        <v>1</v>
      </c>
      <c r="M1365" s="1">
        <v>703</v>
      </c>
      <c r="N1365" s="1">
        <v>288</v>
      </c>
      <c r="O1365" s="1">
        <v>540</v>
      </c>
      <c r="P1365" s="1">
        <v>252</v>
      </c>
      <c r="Q1365" s="1" t="s">
        <v>42</v>
      </c>
      <c r="S1365" s="1" t="s">
        <v>42</v>
      </c>
      <c r="T1365" s="1" t="s">
        <v>153</v>
      </c>
      <c r="V1365" s="5">
        <v>41640</v>
      </c>
      <c r="W1365" s="5">
        <v>42453</v>
      </c>
      <c r="X1365" s="1">
        <v>699000</v>
      </c>
      <c r="Y1365" s="1">
        <v>729000</v>
      </c>
      <c r="Z1365" s="5">
        <v>42454</v>
      </c>
      <c r="AA1365" s="1">
        <v>732121.75</v>
      </c>
      <c r="AB1365" s="1" t="s">
        <v>1178</v>
      </c>
      <c r="AC1365" s="5">
        <v>42472</v>
      </c>
      <c r="AF1365" s="1">
        <v>10027</v>
      </c>
      <c r="AI1365" s="1" t="s">
        <v>1167</v>
      </c>
      <c r="AJ1365" s="1">
        <v>1910</v>
      </c>
      <c r="AL1365" s="1">
        <v>10</v>
      </c>
    </row>
    <row r="1366" spans="1:38" x14ac:dyDescent="0.2">
      <c r="A1366" s="2" t="str">
        <f>HYPERLINK("https://www.compass.com/listing/159-west-126th-street-unit-5a-manhattan-ny-10027/455131392398064201/","159 W 126th St, Unit 5A")</f>
        <v>159 W 126th St, Unit 5A</v>
      </c>
      <c r="B1366" s="2" t="str">
        <f t="shared" si="200"/>
        <v>159 W 126th St</v>
      </c>
      <c r="C1366" s="1" t="s">
        <v>141</v>
      </c>
      <c r="D1366" s="1" t="s">
        <v>41</v>
      </c>
      <c r="E1366" s="3">
        <v>707678</v>
      </c>
      <c r="F1366" s="1">
        <v>1006.6548790896099</v>
      </c>
      <c r="G1366" s="1">
        <v>3</v>
      </c>
      <c r="H1366" s="1">
        <v>2</v>
      </c>
      <c r="I1366" s="1">
        <v>1</v>
      </c>
      <c r="J1366" s="1">
        <v>1</v>
      </c>
      <c r="M1366" s="1">
        <v>703</v>
      </c>
      <c r="N1366" s="1">
        <v>242</v>
      </c>
      <c r="O1366" s="1">
        <v>454</v>
      </c>
      <c r="P1366" s="1">
        <v>212</v>
      </c>
      <c r="Q1366" s="1" t="s">
        <v>42</v>
      </c>
      <c r="S1366" s="1" t="s">
        <v>42</v>
      </c>
      <c r="T1366" s="1" t="s">
        <v>153</v>
      </c>
      <c r="U1366" s="1">
        <v>158</v>
      </c>
      <c r="V1366" s="5">
        <v>41640</v>
      </c>
      <c r="W1366" s="5">
        <v>42229</v>
      </c>
      <c r="X1366" s="1">
        <v>729000</v>
      </c>
      <c r="Y1366" s="1">
        <v>699000</v>
      </c>
      <c r="Z1366" s="5">
        <v>42387</v>
      </c>
      <c r="AA1366" s="1">
        <v>707678.38</v>
      </c>
      <c r="AB1366" s="1" t="s">
        <v>1179</v>
      </c>
      <c r="AC1366" s="5">
        <v>42481</v>
      </c>
      <c r="AF1366" s="1">
        <v>10027</v>
      </c>
      <c r="AI1366" s="1" t="s">
        <v>1167</v>
      </c>
      <c r="AJ1366" s="1">
        <v>1910</v>
      </c>
      <c r="AL1366" s="1">
        <v>10</v>
      </c>
    </row>
    <row r="1367" spans="1:38" x14ac:dyDescent="0.2">
      <c r="A1367" s="2" t="str">
        <f>HYPERLINK("https://www.compass.com/listing/159-west-126th-street-unit-5b-manhattan-ny-10027/455122778102965409/","159 W 126th St, Unit 5B")</f>
        <v>159 W 126th St, Unit 5B</v>
      </c>
      <c r="B1367" s="2" t="str">
        <f t="shared" si="200"/>
        <v>159 W 126th St</v>
      </c>
      <c r="C1367" s="1" t="s">
        <v>141</v>
      </c>
      <c r="D1367" s="1" t="s">
        <v>41</v>
      </c>
      <c r="E1367" s="3">
        <v>654922</v>
      </c>
      <c r="F1367" s="1">
        <v>900.85574965612102</v>
      </c>
      <c r="G1367" s="1">
        <v>4</v>
      </c>
      <c r="H1367" s="1">
        <v>2</v>
      </c>
      <c r="I1367" s="1">
        <v>1</v>
      </c>
      <c r="J1367" s="1">
        <v>1</v>
      </c>
      <c r="M1367" s="1">
        <v>727</v>
      </c>
      <c r="N1367" s="1">
        <v>246</v>
      </c>
      <c r="O1367" s="1">
        <v>461</v>
      </c>
      <c r="P1367" s="1">
        <v>215</v>
      </c>
      <c r="Q1367" s="1" t="s">
        <v>42</v>
      </c>
      <c r="S1367" s="1" t="s">
        <v>42</v>
      </c>
      <c r="T1367" s="1" t="s">
        <v>153</v>
      </c>
      <c r="U1367" s="1">
        <v>114</v>
      </c>
      <c r="V1367" s="5">
        <v>41640</v>
      </c>
      <c r="W1367" s="5">
        <v>42273</v>
      </c>
      <c r="X1367" s="1">
        <v>729000</v>
      </c>
      <c r="Y1367" s="1">
        <v>649000</v>
      </c>
      <c r="Z1367" s="5">
        <v>42387</v>
      </c>
      <c r="AA1367" s="1">
        <v>654922.13</v>
      </c>
      <c r="AB1367" s="1" t="s">
        <v>1180</v>
      </c>
      <c r="AC1367" s="5">
        <v>42506</v>
      </c>
      <c r="AF1367" s="1">
        <v>10027</v>
      </c>
      <c r="AI1367" s="1" t="s">
        <v>1167</v>
      </c>
      <c r="AJ1367" s="1">
        <v>1910</v>
      </c>
      <c r="AL1367" s="1">
        <v>10</v>
      </c>
    </row>
    <row r="1368" spans="1:38" x14ac:dyDescent="0.2">
      <c r="A1368" s="2" t="str">
        <f>HYPERLINK("https://www.compass.com/listing/69-bennett-avenue-unit-107-manhattan-ny-10033/370074890360139873/","69 Bennett Ave, Unit 107")</f>
        <v>69 Bennett Ave, Unit 107</v>
      </c>
      <c r="B1368" s="2" t="str">
        <f>HYPERLINK("https://www.compass.com/building/69-bennett-ave-manhattan-ny-10033/282013522349526869/","69 Bennett Ave")</f>
        <v>69 Bennett Ave</v>
      </c>
      <c r="C1368" s="1" t="s">
        <v>122</v>
      </c>
      <c r="D1368" s="1" t="s">
        <v>41</v>
      </c>
      <c r="E1368" s="3">
        <v>375000</v>
      </c>
      <c r="F1368" s="1">
        <v>506.07287449392697</v>
      </c>
      <c r="G1368" s="1">
        <v>3</v>
      </c>
      <c r="H1368" s="1">
        <v>1</v>
      </c>
      <c r="I1368" s="1">
        <v>1</v>
      </c>
      <c r="J1368" s="1">
        <v>1</v>
      </c>
      <c r="K1368" s="1">
        <v>1</v>
      </c>
      <c r="M1368" s="1">
        <v>741</v>
      </c>
      <c r="N1368" s="1">
        <v>499</v>
      </c>
      <c r="O1368" s="1">
        <v>894</v>
      </c>
      <c r="P1368" s="1">
        <v>395</v>
      </c>
      <c r="Q1368" s="1" t="s">
        <v>114</v>
      </c>
      <c r="S1368" s="1" t="s">
        <v>42</v>
      </c>
      <c r="T1368" s="1" t="s">
        <v>153</v>
      </c>
      <c r="U1368" s="1">
        <v>400</v>
      </c>
      <c r="V1368" s="5">
        <v>44345</v>
      </c>
      <c r="W1368" s="5">
        <v>43762</v>
      </c>
      <c r="X1368" s="1">
        <v>430000</v>
      </c>
      <c r="Y1368" s="1">
        <v>389500</v>
      </c>
      <c r="Z1368" s="5">
        <v>44257</v>
      </c>
      <c r="AA1368" s="1">
        <v>375000</v>
      </c>
      <c r="AB1368" s="1" t="s">
        <v>1181</v>
      </c>
      <c r="AC1368" s="5">
        <v>44313</v>
      </c>
      <c r="AF1368" s="1">
        <v>10033</v>
      </c>
      <c r="AJ1368" s="1">
        <v>1954</v>
      </c>
      <c r="AL1368" s="1">
        <v>60</v>
      </c>
    </row>
    <row r="1369" spans="1:38" x14ac:dyDescent="0.2">
      <c r="A1369" s="2" t="str">
        <f>HYPERLINK("https://www.compass.com/listing/155-west-126th-street-unit-4b-manhattan-ny-10027/378191291065309361/","155 W 126th St, Unit 4B")</f>
        <v>155 W 126th St, Unit 4B</v>
      </c>
      <c r="B1369" s="2" t="str">
        <f>HYPERLINK("https://www.compass.com/building/155-w-126th-st-manhattan-ny-10027/281979223730651925/","155 W 126th St")</f>
        <v>155 W 126th St</v>
      </c>
      <c r="C1369" s="1" t="s">
        <v>141</v>
      </c>
      <c r="D1369" s="1" t="s">
        <v>41</v>
      </c>
      <c r="E1369" s="3">
        <v>760000</v>
      </c>
      <c r="F1369" s="1">
        <v>1122.59970457902</v>
      </c>
      <c r="G1369" s="1">
        <v>3</v>
      </c>
      <c r="H1369" s="1">
        <v>1</v>
      </c>
      <c r="I1369" s="1">
        <v>2</v>
      </c>
      <c r="J1369" s="1">
        <v>1.5</v>
      </c>
      <c r="K1369" s="1">
        <v>1</v>
      </c>
      <c r="L1369" s="1">
        <v>1</v>
      </c>
      <c r="M1369" s="1">
        <v>677</v>
      </c>
      <c r="N1369" s="1">
        <v>288</v>
      </c>
      <c r="O1369" s="1">
        <v>746</v>
      </c>
      <c r="P1369" s="1">
        <v>458</v>
      </c>
      <c r="Q1369" s="1" t="s">
        <v>42</v>
      </c>
      <c r="S1369" s="1" t="s">
        <v>42</v>
      </c>
      <c r="T1369" s="1" t="s">
        <v>153</v>
      </c>
      <c r="U1369" s="1">
        <v>135</v>
      </c>
      <c r="V1369" s="5">
        <v>43959</v>
      </c>
      <c r="W1369" s="5">
        <v>43762</v>
      </c>
      <c r="X1369" s="1">
        <v>789000</v>
      </c>
      <c r="Y1369" s="1">
        <v>749000</v>
      </c>
      <c r="Z1369" s="5">
        <v>43898</v>
      </c>
      <c r="AA1369" s="1">
        <v>760000</v>
      </c>
      <c r="AB1369" s="1" t="s">
        <v>1182</v>
      </c>
      <c r="AC1369" s="5">
        <v>43958</v>
      </c>
      <c r="AF1369" s="1">
        <v>10027</v>
      </c>
      <c r="AI1369" s="1" t="s">
        <v>1183</v>
      </c>
      <c r="AJ1369" s="1">
        <v>1910</v>
      </c>
      <c r="AL1369" s="1">
        <v>10</v>
      </c>
    </row>
    <row r="1370" spans="1:38" x14ac:dyDescent="0.2">
      <c r="A1370" s="2" t="str">
        <f>HYPERLINK("https://www.compass.com/listing/425-west-50th-street-unit-12h-manhattan-ny-10019/29389216588878257/","425 W 50th St, Unit 12H")</f>
        <v>425 W 50th St, Unit 12H</v>
      </c>
      <c r="B1370" s="2" t="str">
        <f>HYPERLINK("https://www.compass.com/building/stella-tower-manhattan-ny/281945855710262181/","Stella Tower")</f>
        <v>Stella Tower</v>
      </c>
      <c r="C1370" s="1" t="s">
        <v>67</v>
      </c>
      <c r="D1370" s="1" t="s">
        <v>41</v>
      </c>
      <c r="E1370" s="3">
        <v>3974175</v>
      </c>
      <c r="F1370" s="1">
        <v>2147.0421393841102</v>
      </c>
      <c r="G1370" s="1">
        <v>4</v>
      </c>
      <c r="H1370" s="1">
        <v>2</v>
      </c>
      <c r="I1370" s="1">
        <v>3</v>
      </c>
      <c r="J1370" s="1">
        <v>2.5</v>
      </c>
      <c r="M1370" s="4">
        <v>1851</v>
      </c>
      <c r="N1370" s="1">
        <v>2096</v>
      </c>
      <c r="O1370" s="1">
        <v>3379</v>
      </c>
      <c r="P1370" s="1">
        <v>1283</v>
      </c>
      <c r="Q1370" s="1" t="s">
        <v>42</v>
      </c>
      <c r="S1370" s="1" t="s">
        <v>42</v>
      </c>
      <c r="T1370" s="1" t="s">
        <v>153</v>
      </c>
      <c r="U1370" s="1">
        <v>176</v>
      </c>
      <c r="V1370" s="5">
        <v>43634</v>
      </c>
      <c r="W1370" s="5">
        <v>42290</v>
      </c>
      <c r="X1370" s="1">
        <v>3995000</v>
      </c>
      <c r="Y1370" s="1">
        <v>3995000</v>
      </c>
      <c r="Z1370" s="5">
        <v>42466</v>
      </c>
      <c r="AA1370" s="1">
        <v>3974175</v>
      </c>
      <c r="AB1370" s="1" t="s">
        <v>1159</v>
      </c>
      <c r="AC1370" s="5">
        <v>42480</v>
      </c>
      <c r="AF1370" s="1">
        <v>10019</v>
      </c>
      <c r="AI1370" s="1" t="s">
        <v>45</v>
      </c>
      <c r="AJ1370" s="1">
        <v>1930</v>
      </c>
      <c r="AK1370" s="1" t="s">
        <v>46</v>
      </c>
      <c r="AL1370" s="1">
        <v>51</v>
      </c>
    </row>
    <row r="1371" spans="1:38" x14ac:dyDescent="0.2">
      <c r="A1371" s="2" t="str">
        <f>HYPERLINK("https://www.compass.com/listing/69-bennett-avenue-unit-308-manhattan-ny-10033/95623450068071953/","69 Bennett Ave, Unit 308")</f>
        <v>69 Bennett Ave, Unit 308</v>
      </c>
      <c r="B1371" s="2" t="str">
        <f>HYPERLINK("https://www.compass.com/building/69-bennett-ave-manhattan-ny-10033/282013522349526869/","69 Bennett Ave")</f>
        <v>69 Bennett Ave</v>
      </c>
      <c r="C1371" s="1" t="s">
        <v>1184</v>
      </c>
      <c r="D1371" s="1" t="s">
        <v>41</v>
      </c>
      <c r="E1371" s="3">
        <v>412000</v>
      </c>
      <c r="F1371" s="1">
        <v>729.20353982300799</v>
      </c>
      <c r="G1371" s="1">
        <v>2</v>
      </c>
      <c r="H1371" s="1" t="s">
        <v>94</v>
      </c>
      <c r="I1371" s="1">
        <v>1</v>
      </c>
      <c r="J1371" s="1">
        <v>1</v>
      </c>
      <c r="K1371" s="1">
        <v>1</v>
      </c>
      <c r="M1371" s="1">
        <v>565</v>
      </c>
      <c r="N1371" s="1">
        <v>381</v>
      </c>
      <c r="O1371" s="1">
        <v>683</v>
      </c>
      <c r="P1371" s="1">
        <v>302</v>
      </c>
      <c r="Q1371" s="1" t="s">
        <v>114</v>
      </c>
      <c r="S1371" s="1" t="s">
        <v>42</v>
      </c>
      <c r="T1371" s="1" t="s">
        <v>153</v>
      </c>
      <c r="U1371" s="1">
        <v>96</v>
      </c>
      <c r="V1371" s="5">
        <v>43724</v>
      </c>
      <c r="W1371" s="5">
        <v>43602</v>
      </c>
      <c r="X1371" s="1">
        <v>425000</v>
      </c>
      <c r="Y1371" s="1">
        <v>425000</v>
      </c>
      <c r="Z1371" s="5">
        <v>43698</v>
      </c>
      <c r="AA1371" s="1">
        <v>412500</v>
      </c>
      <c r="AB1371" s="1" t="s">
        <v>1185</v>
      </c>
      <c r="AC1371" s="5">
        <v>43717</v>
      </c>
      <c r="AF1371" s="1">
        <v>10033</v>
      </c>
      <c r="AJ1371" s="1">
        <v>1954</v>
      </c>
      <c r="AL1371" s="1">
        <v>60</v>
      </c>
    </row>
    <row r="1372" spans="1:38" x14ac:dyDescent="0.2">
      <c r="A1372" s="2" t="str">
        <f>HYPERLINK("https://www.compass.com/listing/425-west-50th-street-unit-16d-manhattan-ny-10019/29389226705472225/","425 W 50th St, Unit 16D")</f>
        <v>425 W 50th St, Unit 16D</v>
      </c>
      <c r="B1372" s="2" t="str">
        <f t="shared" ref="B1372:B1373" si="201">HYPERLINK("https://www.compass.com/building/stella-tower-manhattan-ny/281945855710262181/","Stella Tower")</f>
        <v>Stella Tower</v>
      </c>
      <c r="C1372" s="1" t="s">
        <v>67</v>
      </c>
      <c r="D1372" s="1" t="s">
        <v>41</v>
      </c>
      <c r="E1372" s="3">
        <v>5600375</v>
      </c>
      <c r="F1372" s="1">
        <v>2587.97365988909</v>
      </c>
      <c r="G1372" s="1">
        <v>5</v>
      </c>
      <c r="H1372" s="1">
        <v>3</v>
      </c>
      <c r="I1372" s="1">
        <v>4</v>
      </c>
      <c r="J1372" s="1">
        <v>0.5</v>
      </c>
      <c r="L1372" s="1">
        <v>1</v>
      </c>
      <c r="M1372" s="4">
        <v>2164</v>
      </c>
      <c r="N1372" s="1">
        <v>2459</v>
      </c>
      <c r="O1372" s="1">
        <v>3965</v>
      </c>
      <c r="P1372" s="1">
        <v>1506</v>
      </c>
      <c r="Q1372" s="1" t="s">
        <v>42</v>
      </c>
      <c r="S1372" s="1" t="s">
        <v>42</v>
      </c>
      <c r="T1372" s="1" t="s">
        <v>153</v>
      </c>
      <c r="U1372" s="1">
        <v>62</v>
      </c>
      <c r="V1372" s="5">
        <v>43661</v>
      </c>
      <c r="W1372" s="5">
        <v>42277</v>
      </c>
      <c r="X1372" s="1">
        <v>5800000</v>
      </c>
      <c r="Y1372" s="1">
        <v>5800000</v>
      </c>
      <c r="Z1372" s="5">
        <v>42339</v>
      </c>
      <c r="AA1372" s="1">
        <v>5600375</v>
      </c>
      <c r="AB1372" s="1" t="s">
        <v>1186</v>
      </c>
      <c r="AC1372" s="5">
        <v>42355</v>
      </c>
      <c r="AF1372" s="1">
        <v>10019</v>
      </c>
      <c r="AI1372" s="1" t="s">
        <v>45</v>
      </c>
      <c r="AJ1372" s="1">
        <v>1930</v>
      </c>
      <c r="AK1372" s="1" t="s">
        <v>46</v>
      </c>
      <c r="AL1372" s="1">
        <v>51</v>
      </c>
    </row>
    <row r="1373" spans="1:38" x14ac:dyDescent="0.2">
      <c r="A1373" s="2" t="str">
        <f>HYPERLINK("https://www.compass.com/listing/425-west-50th-street-unit-11g-manhattan-ny-10019/29389209408229617/","425 W 50th St, Unit 11G")</f>
        <v>425 W 50th St, Unit 11G</v>
      </c>
      <c r="B1373" s="2" t="str">
        <f t="shared" si="201"/>
        <v>Stella Tower</v>
      </c>
      <c r="C1373" s="1" t="s">
        <v>67</v>
      </c>
      <c r="D1373" s="1" t="s">
        <v>41</v>
      </c>
      <c r="E1373" s="3">
        <v>3923263</v>
      </c>
      <c r="F1373" s="1">
        <v>2086.84202127659</v>
      </c>
      <c r="G1373" s="1">
        <v>4</v>
      </c>
      <c r="H1373" s="1">
        <v>2</v>
      </c>
      <c r="I1373" s="1">
        <v>3</v>
      </c>
      <c r="J1373" s="1">
        <v>2.5</v>
      </c>
      <c r="M1373" s="4">
        <v>1880</v>
      </c>
      <c r="N1373" s="1">
        <v>2126</v>
      </c>
      <c r="O1373" s="1">
        <v>3428</v>
      </c>
      <c r="P1373" s="1">
        <v>1302</v>
      </c>
      <c r="Q1373" s="1" t="s">
        <v>42</v>
      </c>
      <c r="S1373" s="1" t="s">
        <v>42</v>
      </c>
      <c r="T1373" s="1" t="s">
        <v>153</v>
      </c>
      <c r="U1373" s="1">
        <v>7</v>
      </c>
      <c r="V1373" s="5">
        <v>43634</v>
      </c>
      <c r="W1373" s="5">
        <v>42462</v>
      </c>
      <c r="X1373" s="1">
        <v>4250000</v>
      </c>
      <c r="Y1373" s="1">
        <v>4250000</v>
      </c>
      <c r="Z1373" s="5">
        <v>42469</v>
      </c>
      <c r="AA1373" s="1">
        <v>3923263</v>
      </c>
      <c r="AB1373" s="1" t="s">
        <v>1160</v>
      </c>
      <c r="AC1373" s="5">
        <v>42536</v>
      </c>
      <c r="AF1373" s="1">
        <v>10019</v>
      </c>
      <c r="AI1373" s="1" t="s">
        <v>45</v>
      </c>
      <c r="AJ1373" s="1">
        <v>1930</v>
      </c>
      <c r="AK1373" s="1" t="s">
        <v>46</v>
      </c>
      <c r="AL1373" s="1">
        <v>51</v>
      </c>
    </row>
    <row r="1374" spans="1:38" x14ac:dyDescent="0.2">
      <c r="A1374" s="2" t="str">
        <f>HYPERLINK("https://www.compass.com/listing/155-west-126th-street-unit-2b-manhattan-ny-10027/803370558003493953/","155 W 126th St, Unit 2B")</f>
        <v>155 W 126th St, Unit 2B</v>
      </c>
      <c r="B1374" s="2" t="str">
        <f>HYPERLINK("https://www.compass.com/building/155-w-126th-st-manhattan-ny-10027/281979223730651925/","155 W 126th St")</f>
        <v>155 W 126th St</v>
      </c>
      <c r="C1374" s="1" t="s">
        <v>141</v>
      </c>
      <c r="D1374" s="1" t="s">
        <v>41</v>
      </c>
      <c r="E1374" s="3">
        <v>1150000</v>
      </c>
      <c r="F1374" s="1">
        <v>1138.6138613861301</v>
      </c>
      <c r="G1374" s="1">
        <v>4</v>
      </c>
      <c r="H1374" s="1">
        <v>2</v>
      </c>
      <c r="I1374" s="1">
        <v>2</v>
      </c>
      <c r="M1374" s="4">
        <v>1010</v>
      </c>
      <c r="N1374" s="1">
        <v>373</v>
      </c>
      <c r="O1374" s="1">
        <v>877</v>
      </c>
      <c r="P1374" s="1">
        <v>504</v>
      </c>
      <c r="Q1374" s="1" t="s">
        <v>42</v>
      </c>
      <c r="S1374" s="1" t="s">
        <v>42</v>
      </c>
      <c r="T1374" s="1" t="s">
        <v>153</v>
      </c>
      <c r="U1374" s="1">
        <v>97</v>
      </c>
      <c r="V1374" s="5">
        <v>43257</v>
      </c>
      <c r="W1374" s="5">
        <v>42802</v>
      </c>
      <c r="X1374" s="1">
        <v>1195000</v>
      </c>
      <c r="Y1374" s="1">
        <v>1195000</v>
      </c>
      <c r="AA1374" s="1">
        <v>1150000</v>
      </c>
      <c r="AB1374" s="1" t="s">
        <v>1038</v>
      </c>
      <c r="AC1374" s="5">
        <v>42900</v>
      </c>
      <c r="AF1374" s="1">
        <v>10027</v>
      </c>
      <c r="AI1374" s="1" t="s">
        <v>225</v>
      </c>
      <c r="AJ1374" s="1">
        <v>1910</v>
      </c>
      <c r="AL1374" s="1">
        <v>10</v>
      </c>
    </row>
    <row r="1375" spans="1:38" x14ac:dyDescent="0.2">
      <c r="A1375" s="2" t="str">
        <f>HYPERLINK("https://www.compass.com/listing/425-west-50th-street-unit-11f-manhattan-ny-10019/29389208946846033/","425 W 50th St, Unit 11F")</f>
        <v>425 W 50th St, Unit 11F</v>
      </c>
      <c r="B1375" s="2" t="str">
        <f t="shared" ref="B1375:B1376" si="202">HYPERLINK("https://www.compass.com/building/stella-tower-manhattan-ny/281945855710262181/","Stella Tower")</f>
        <v>Stella Tower</v>
      </c>
      <c r="C1375" s="1" t="s">
        <v>67</v>
      </c>
      <c r="D1375" s="1" t="s">
        <v>41</v>
      </c>
      <c r="E1375" s="3">
        <v>3707500</v>
      </c>
      <c r="F1375" s="1">
        <v>2049.4748479823102</v>
      </c>
      <c r="G1375" s="1">
        <v>4.5</v>
      </c>
      <c r="H1375" s="1">
        <v>2</v>
      </c>
      <c r="I1375" s="1">
        <v>3</v>
      </c>
      <c r="J1375" s="1">
        <v>2.5</v>
      </c>
      <c r="K1375" s="1">
        <v>2</v>
      </c>
      <c r="L1375" s="1">
        <v>1</v>
      </c>
      <c r="M1375" s="4">
        <v>1809</v>
      </c>
      <c r="N1375" s="1">
        <v>2046</v>
      </c>
      <c r="O1375" s="1">
        <v>4318</v>
      </c>
      <c r="P1375" s="1">
        <v>2272</v>
      </c>
      <c r="Q1375" s="1" t="s">
        <v>42</v>
      </c>
      <c r="S1375" s="1" t="s">
        <v>42</v>
      </c>
      <c r="T1375" s="1" t="s">
        <v>153</v>
      </c>
      <c r="U1375" s="1">
        <v>84</v>
      </c>
      <c r="V1375" s="5">
        <v>44064</v>
      </c>
      <c r="W1375" s="5">
        <v>43103</v>
      </c>
      <c r="X1375" s="1">
        <v>4195000</v>
      </c>
      <c r="Y1375" s="1">
        <v>3995000</v>
      </c>
      <c r="Z1375" s="5">
        <v>43187</v>
      </c>
      <c r="AA1375" s="1">
        <v>3707500</v>
      </c>
      <c r="AB1375" s="1" t="s">
        <v>1187</v>
      </c>
      <c r="AC1375" s="5">
        <v>43242</v>
      </c>
      <c r="AF1375" s="1">
        <v>10019</v>
      </c>
      <c r="AI1375" s="1" t="s">
        <v>45</v>
      </c>
      <c r="AJ1375" s="1">
        <v>1930</v>
      </c>
      <c r="AK1375" s="1" t="s">
        <v>46</v>
      </c>
      <c r="AL1375" s="1">
        <v>51</v>
      </c>
    </row>
    <row r="1376" spans="1:38" x14ac:dyDescent="0.2">
      <c r="A1376" s="2" t="str">
        <f>HYPERLINK("https://www.compass.com/listing/425-west-50th-street-unit-16a-manhattan-ny-10019/365814458024193153/","425 W 50th St, Unit 16A")</f>
        <v>425 W 50th St, Unit 16A</v>
      </c>
      <c r="B1376" s="2" t="str">
        <f t="shared" si="202"/>
        <v>Stella Tower</v>
      </c>
      <c r="C1376" s="1" t="s">
        <v>67</v>
      </c>
      <c r="D1376" s="1" t="s">
        <v>41</v>
      </c>
      <c r="E1376" s="3">
        <v>6125000</v>
      </c>
      <c r="F1376" s="1">
        <v>2689.9429073342098</v>
      </c>
      <c r="G1376" s="1">
        <v>4</v>
      </c>
      <c r="H1376" s="1">
        <v>2</v>
      </c>
      <c r="I1376" s="1">
        <v>3</v>
      </c>
      <c r="J1376" s="1">
        <v>2.5</v>
      </c>
      <c r="K1376" s="1">
        <v>2</v>
      </c>
      <c r="L1376" s="1">
        <v>1</v>
      </c>
      <c r="M1376" s="4">
        <v>2277</v>
      </c>
      <c r="N1376" s="1">
        <v>3043</v>
      </c>
      <c r="O1376" s="1">
        <v>6760</v>
      </c>
      <c r="P1376" s="1">
        <v>3717</v>
      </c>
      <c r="Q1376" s="1" t="s">
        <v>42</v>
      </c>
      <c r="S1376" s="1" t="s">
        <v>42</v>
      </c>
      <c r="T1376" s="1" t="s">
        <v>153</v>
      </c>
      <c r="U1376" s="1">
        <v>6</v>
      </c>
      <c r="V1376" s="5">
        <v>44064</v>
      </c>
      <c r="W1376" s="5">
        <v>43750</v>
      </c>
      <c r="X1376" s="1">
        <v>6200000</v>
      </c>
      <c r="Y1376" s="1">
        <v>6200000</v>
      </c>
      <c r="Z1376" s="5">
        <v>43763</v>
      </c>
      <c r="AA1376" s="1">
        <v>6125000</v>
      </c>
      <c r="AB1376" s="1" t="s">
        <v>1188</v>
      </c>
      <c r="AC1376" s="5">
        <v>43860</v>
      </c>
      <c r="AF1376" s="1">
        <v>10019</v>
      </c>
      <c r="AI1376" s="1" t="s">
        <v>233</v>
      </c>
      <c r="AJ1376" s="1">
        <v>1930</v>
      </c>
      <c r="AK1376" s="1" t="s">
        <v>46</v>
      </c>
      <c r="AL1376" s="1">
        <v>51</v>
      </c>
    </row>
    <row r="1377" spans="1:38" x14ac:dyDescent="0.2">
      <c r="A1377" s="2" t="str">
        <f>HYPERLINK("https://www.compass.com/listing/432-west-52nd-street-unit-7d-manhattan-ny-10019/4852323614717914209/","432 W 52nd St, Unit 7D")</f>
        <v>432 W 52nd St, Unit 7D</v>
      </c>
      <c r="B1377" s="2" t="str">
        <f>HYPERLINK("https://www.compass.com/building/432-w-52nd-st-manhattan-ny-10019/292847238378489941/","432 W 52nd St")</f>
        <v>432 W 52nd St</v>
      </c>
      <c r="C1377" s="1" t="s">
        <v>67</v>
      </c>
      <c r="D1377" s="1" t="s">
        <v>41</v>
      </c>
      <c r="E1377" s="3">
        <v>1440824</v>
      </c>
      <c r="F1377" s="1">
        <v>1646.65571428571</v>
      </c>
      <c r="G1377" s="1">
        <v>3</v>
      </c>
      <c r="H1377" s="1">
        <v>2</v>
      </c>
      <c r="I1377" s="1">
        <v>2</v>
      </c>
      <c r="J1377" s="1">
        <v>2</v>
      </c>
      <c r="M1377" s="1">
        <v>875</v>
      </c>
      <c r="N1377" s="1">
        <v>1044</v>
      </c>
      <c r="O1377" s="1">
        <v>2222</v>
      </c>
      <c r="P1377" s="1">
        <v>1178</v>
      </c>
      <c r="Q1377" s="1" t="s">
        <v>42</v>
      </c>
      <c r="S1377" s="1" t="s">
        <v>42</v>
      </c>
      <c r="T1377" s="1" t="s">
        <v>153</v>
      </c>
      <c r="V1377" s="5">
        <v>42343</v>
      </c>
      <c r="W1377" s="5">
        <v>42206</v>
      </c>
      <c r="X1377" s="1">
        <v>1375000</v>
      </c>
      <c r="Y1377" s="1">
        <v>1415000</v>
      </c>
      <c r="Z1377" s="5">
        <v>42207</v>
      </c>
      <c r="AA1377" s="1">
        <v>1440823.75</v>
      </c>
      <c r="AB1377" s="1" t="s">
        <v>1189</v>
      </c>
      <c r="AC1377" s="5">
        <v>42368</v>
      </c>
      <c r="AF1377" s="1">
        <v>10019</v>
      </c>
      <c r="AI1377" s="1" t="s">
        <v>55</v>
      </c>
      <c r="AJ1377" s="1">
        <v>1950</v>
      </c>
      <c r="AK1377" s="1" t="s">
        <v>121</v>
      </c>
      <c r="AL1377" s="1">
        <v>55</v>
      </c>
    </row>
    <row r="1378" spans="1:38" x14ac:dyDescent="0.2">
      <c r="A1378" s="2" t="str">
        <f>HYPERLINK("https://www.compass.com/listing/425-west-50th-street-unit-11a-manhattan-ny-10019/29389206782595233/","425 W 50th St, Unit 11A")</f>
        <v>425 W 50th St, Unit 11A</v>
      </c>
      <c r="B1378" s="2" t="str">
        <f t="shared" ref="B1378:B1379" si="203">HYPERLINK("https://www.compass.com/building/stella-tower-manhattan-ny/281945855710262181/","Stella Tower")</f>
        <v>Stella Tower</v>
      </c>
      <c r="C1378" s="1" t="s">
        <v>67</v>
      </c>
      <c r="D1378" s="1" t="s">
        <v>41</v>
      </c>
      <c r="E1378" s="3">
        <v>5516879</v>
      </c>
      <c r="F1378" s="1">
        <v>3054.75</v>
      </c>
      <c r="G1378" s="1">
        <v>4</v>
      </c>
      <c r="H1378" s="1">
        <v>2</v>
      </c>
      <c r="I1378" s="1">
        <v>3</v>
      </c>
      <c r="J1378" s="1">
        <v>2.5</v>
      </c>
      <c r="M1378" s="4">
        <v>1806</v>
      </c>
      <c r="N1378" s="1">
        <v>2162</v>
      </c>
      <c r="O1378" s="1">
        <v>3486</v>
      </c>
      <c r="P1378" s="1">
        <v>1324</v>
      </c>
      <c r="Q1378" s="1" t="s">
        <v>42</v>
      </c>
      <c r="S1378" s="1" t="s">
        <v>42</v>
      </c>
      <c r="T1378" s="1" t="s">
        <v>153</v>
      </c>
      <c r="U1378" s="1">
        <v>365</v>
      </c>
      <c r="V1378" s="5">
        <v>42161</v>
      </c>
      <c r="W1378" s="5">
        <v>41792</v>
      </c>
      <c r="X1378" s="1">
        <v>5900000</v>
      </c>
      <c r="Y1378" s="1">
        <v>5900000</v>
      </c>
      <c r="AA1378" s="1">
        <v>5516878.5</v>
      </c>
      <c r="AB1378" s="1" t="s">
        <v>1190</v>
      </c>
      <c r="AC1378" s="5">
        <v>42226</v>
      </c>
      <c r="AF1378" s="1">
        <v>10019</v>
      </c>
      <c r="AI1378" s="1" t="s">
        <v>233</v>
      </c>
      <c r="AJ1378" s="1">
        <v>1930</v>
      </c>
      <c r="AK1378" s="1" t="s">
        <v>46</v>
      </c>
      <c r="AL1378" s="1">
        <v>51</v>
      </c>
    </row>
    <row r="1379" spans="1:38" x14ac:dyDescent="0.2">
      <c r="A1379" s="2" t="str">
        <f>HYPERLINK("https://www.compass.com/listing/425-west-50th-street-unit-10c-manhattan-ny-10019/803328033380989673/","425 W 50th St, Unit 10C")</f>
        <v>425 W 50th St, Unit 10C</v>
      </c>
      <c r="B1379" s="2" t="str">
        <f t="shared" si="203"/>
        <v>Stella Tower</v>
      </c>
      <c r="C1379" s="1" t="s">
        <v>67</v>
      </c>
      <c r="D1379" s="1" t="s">
        <v>41</v>
      </c>
      <c r="E1379" s="3">
        <v>4734863</v>
      </c>
      <c r="F1379" s="1">
        <v>2685.6849120816701</v>
      </c>
      <c r="G1379" s="1">
        <v>4</v>
      </c>
      <c r="H1379" s="1">
        <v>2</v>
      </c>
      <c r="I1379" s="1">
        <v>3</v>
      </c>
      <c r="J1379" s="1">
        <v>2.5</v>
      </c>
      <c r="M1379" s="4">
        <v>1763</v>
      </c>
      <c r="N1379" s="1">
        <v>2088</v>
      </c>
      <c r="O1379" s="1">
        <v>3367</v>
      </c>
      <c r="P1379" s="1">
        <v>1279</v>
      </c>
      <c r="Q1379" s="1" t="s">
        <v>42</v>
      </c>
      <c r="S1379" s="1" t="s">
        <v>42</v>
      </c>
      <c r="T1379" s="1" t="s">
        <v>153</v>
      </c>
      <c r="U1379" s="1">
        <v>129</v>
      </c>
      <c r="V1379" s="5">
        <v>42879</v>
      </c>
      <c r="W1379" s="5">
        <v>42261</v>
      </c>
      <c r="X1379" s="1">
        <v>4995000</v>
      </c>
      <c r="Y1379" s="1">
        <v>4995000</v>
      </c>
      <c r="Z1379" s="5">
        <v>42391</v>
      </c>
      <c r="AA1379" s="1">
        <v>4734862.5</v>
      </c>
      <c r="AB1379" s="1" t="s">
        <v>1161</v>
      </c>
      <c r="AC1379" s="5">
        <v>42410</v>
      </c>
      <c r="AF1379" s="1">
        <v>10019</v>
      </c>
      <c r="AI1379" s="1" t="s">
        <v>45</v>
      </c>
      <c r="AJ1379" s="1">
        <v>1930</v>
      </c>
      <c r="AK1379" s="1" t="s">
        <v>46</v>
      </c>
      <c r="AL1379" s="1">
        <v>51</v>
      </c>
    </row>
    <row r="1380" spans="1:38" x14ac:dyDescent="0.2">
      <c r="A1380" s="2" t="str">
        <f>HYPERLINK("https://www.compass.com/listing/105-bennett-avenue-unit-51b-manhattan-ny-10033/333987464057736097/","105 Bennett Ave, Unit 51B")</f>
        <v>105 Bennett Ave, Unit 51B</v>
      </c>
      <c r="B1380" s="2" t="str">
        <f>HYPERLINK("https://www.compass.com/building/105-bennett-ave-manhattan-ny-10033/282010034911706389/","105 Bennett Ave")</f>
        <v>105 Bennett Ave</v>
      </c>
      <c r="C1380" s="1" t="s">
        <v>1184</v>
      </c>
      <c r="D1380" s="1" t="s">
        <v>41</v>
      </c>
      <c r="E1380" s="3">
        <v>505000</v>
      </c>
      <c r="F1380" s="1">
        <v>599.05100830367701</v>
      </c>
      <c r="G1380" s="1">
        <v>4</v>
      </c>
      <c r="H1380" s="1">
        <v>2</v>
      </c>
      <c r="I1380" s="1">
        <v>1</v>
      </c>
      <c r="J1380" s="1">
        <v>1</v>
      </c>
      <c r="K1380" s="1">
        <v>1</v>
      </c>
      <c r="M1380" s="1">
        <v>843</v>
      </c>
      <c r="N1380" s="1">
        <v>554</v>
      </c>
      <c r="O1380" s="1">
        <v>897</v>
      </c>
      <c r="P1380" s="1">
        <v>343</v>
      </c>
      <c r="Q1380" s="1" t="s">
        <v>114</v>
      </c>
      <c r="S1380" s="1" t="s">
        <v>42</v>
      </c>
      <c r="T1380" s="1" t="s">
        <v>153</v>
      </c>
      <c r="U1380" s="1">
        <v>219</v>
      </c>
      <c r="V1380" s="5">
        <v>44381</v>
      </c>
      <c r="W1380" s="5">
        <v>43713</v>
      </c>
      <c r="X1380" s="1">
        <v>611000</v>
      </c>
      <c r="Y1380" s="1">
        <v>580000</v>
      </c>
      <c r="AA1380" s="1">
        <v>505000</v>
      </c>
      <c r="AB1380" s="1" t="s">
        <v>1191</v>
      </c>
      <c r="AC1380" s="5">
        <v>44369</v>
      </c>
      <c r="AF1380" s="1">
        <v>10033</v>
      </c>
      <c r="AJ1380" s="1">
        <v>1939</v>
      </c>
      <c r="AL1380" s="1">
        <v>65</v>
      </c>
    </row>
    <row r="1381" spans="1:38" x14ac:dyDescent="0.2">
      <c r="A1381" s="2" t="str">
        <f>HYPERLINK("https://www.compass.com/listing/425-west-50th-street-unit-14a-manhattan-ny-10019/803339043034704457/","425 W 50th St, Unit 14A")</f>
        <v>425 W 50th St, Unit 14A</v>
      </c>
      <c r="B1381" s="2" t="str">
        <f t="shared" ref="B1381:B1385" si="204">HYPERLINK("https://www.compass.com/building/stella-tower-manhattan-ny/281945855710262181/","Stella Tower")</f>
        <v>Stella Tower</v>
      </c>
      <c r="C1381" s="1" t="s">
        <v>67</v>
      </c>
      <c r="D1381" s="1" t="s">
        <v>41</v>
      </c>
      <c r="E1381" s="3">
        <v>2175000</v>
      </c>
      <c r="F1381" s="1">
        <v>2192.5403225806399</v>
      </c>
      <c r="G1381" s="1">
        <v>3</v>
      </c>
      <c r="H1381" s="1">
        <v>1</v>
      </c>
      <c r="I1381" s="1">
        <v>1</v>
      </c>
      <c r="J1381" s="1">
        <v>1</v>
      </c>
      <c r="K1381" s="1">
        <v>1</v>
      </c>
      <c r="M1381" s="1">
        <v>992</v>
      </c>
      <c r="N1381" s="1">
        <v>1480</v>
      </c>
      <c r="O1381" s="1">
        <v>3184</v>
      </c>
      <c r="P1381" s="1">
        <v>1704</v>
      </c>
      <c r="Q1381" s="1" t="s">
        <v>42</v>
      </c>
      <c r="S1381" s="1" t="s">
        <v>42</v>
      </c>
      <c r="T1381" s="1" t="s">
        <v>153</v>
      </c>
      <c r="U1381" s="1">
        <v>40</v>
      </c>
      <c r="V1381" s="5">
        <v>44126</v>
      </c>
      <c r="W1381" s="5">
        <v>44056</v>
      </c>
      <c r="X1381" s="1">
        <v>2300000</v>
      </c>
      <c r="Y1381" s="1">
        <v>2300000</v>
      </c>
      <c r="AA1381" s="1">
        <v>2175000</v>
      </c>
      <c r="AB1381" s="1" t="s">
        <v>1192</v>
      </c>
      <c r="AC1381" s="5">
        <v>44096</v>
      </c>
      <c r="AF1381" s="1">
        <v>10019</v>
      </c>
      <c r="AI1381" s="1" t="s">
        <v>239</v>
      </c>
      <c r="AJ1381" s="1">
        <v>1930</v>
      </c>
      <c r="AK1381" s="1" t="s">
        <v>46</v>
      </c>
      <c r="AL1381" s="1">
        <v>51</v>
      </c>
    </row>
    <row r="1382" spans="1:38" x14ac:dyDescent="0.2">
      <c r="A1382" s="2" t="str">
        <f>HYPERLINK("https://www.compass.com/listing/425-west-50th-street-unit-15f-manhattan-ny-10019/29389223861791457/","425 W 50th St, Unit 15F")</f>
        <v>425 W 50th St, Unit 15F</v>
      </c>
      <c r="B1382" s="2" t="str">
        <f t="shared" si="204"/>
        <v>Stella Tower</v>
      </c>
      <c r="C1382" s="1" t="s">
        <v>67</v>
      </c>
      <c r="D1382" s="1" t="s">
        <v>41</v>
      </c>
      <c r="E1382" s="3">
        <v>4700000</v>
      </c>
      <c r="F1382" s="1">
        <v>2137.3351523419701</v>
      </c>
      <c r="G1382" s="1">
        <v>5</v>
      </c>
      <c r="H1382" s="1">
        <v>3</v>
      </c>
      <c r="I1382" s="1">
        <v>4</v>
      </c>
      <c r="J1382" s="1">
        <v>0.5</v>
      </c>
      <c r="L1382" s="1">
        <v>1</v>
      </c>
      <c r="M1382" s="4">
        <v>2199</v>
      </c>
      <c r="N1382" s="1">
        <v>2497</v>
      </c>
      <c r="O1382" s="1">
        <v>5307</v>
      </c>
      <c r="P1382" s="1">
        <v>2810</v>
      </c>
      <c r="Q1382" s="1" t="s">
        <v>42</v>
      </c>
      <c r="S1382" s="1" t="s">
        <v>42</v>
      </c>
      <c r="T1382" s="1" t="s">
        <v>153</v>
      </c>
      <c r="U1382" s="1">
        <v>339</v>
      </c>
      <c r="V1382" s="5">
        <v>43661</v>
      </c>
      <c r="W1382" s="5">
        <v>42739</v>
      </c>
      <c r="X1382" s="1">
        <v>5950000</v>
      </c>
      <c r="Y1382" s="1">
        <v>4995000</v>
      </c>
      <c r="Z1382" s="5">
        <v>43078</v>
      </c>
      <c r="AA1382" s="1">
        <v>4700000</v>
      </c>
      <c r="AB1382" s="1" t="s">
        <v>1193</v>
      </c>
      <c r="AC1382" s="5">
        <v>43111</v>
      </c>
      <c r="AF1382" s="1">
        <v>10019</v>
      </c>
      <c r="AI1382" s="1" t="s">
        <v>45</v>
      </c>
      <c r="AJ1382" s="1">
        <v>1930</v>
      </c>
      <c r="AK1382" s="1" t="s">
        <v>46</v>
      </c>
      <c r="AL1382" s="1">
        <v>51</v>
      </c>
    </row>
    <row r="1383" spans="1:38" x14ac:dyDescent="0.2">
      <c r="A1383" s="2" t="str">
        <f>HYPERLINK("https://www.compass.com/listing/425-west-50th-street-unit-pha-manhattan-ny-10019/29389227552789137/","425 W 50th St, Unit PHA")</f>
        <v>425 W 50th St, Unit PHA</v>
      </c>
      <c r="B1383" s="2" t="str">
        <f t="shared" si="204"/>
        <v>Stella Tower</v>
      </c>
      <c r="C1383" s="1" t="s">
        <v>67</v>
      </c>
      <c r="D1383" s="1" t="s">
        <v>41</v>
      </c>
      <c r="E1383" s="3">
        <v>10185500</v>
      </c>
      <c r="F1383" s="1">
        <v>2832.4527252502699</v>
      </c>
      <c r="G1383" s="1">
        <v>6</v>
      </c>
      <c r="H1383" s="1">
        <v>3</v>
      </c>
      <c r="I1383" s="1">
        <v>4</v>
      </c>
      <c r="J1383" s="1">
        <v>0.5</v>
      </c>
      <c r="L1383" s="1">
        <v>1</v>
      </c>
      <c r="M1383" s="4">
        <v>3596</v>
      </c>
      <c r="N1383" s="1">
        <v>4358</v>
      </c>
      <c r="O1383" s="1">
        <v>8790</v>
      </c>
      <c r="P1383" s="1">
        <v>4432</v>
      </c>
      <c r="Q1383" s="1" t="s">
        <v>42</v>
      </c>
      <c r="S1383" s="1" t="s">
        <v>42</v>
      </c>
      <c r="T1383" s="1" t="s">
        <v>153</v>
      </c>
      <c r="U1383" s="1">
        <v>310</v>
      </c>
      <c r="V1383" s="5">
        <v>43694</v>
      </c>
      <c r="W1383" s="5">
        <v>42445</v>
      </c>
      <c r="X1383" s="1">
        <v>12995000</v>
      </c>
      <c r="Y1383" s="1">
        <v>11495000</v>
      </c>
      <c r="Z1383" s="5">
        <v>42755</v>
      </c>
      <c r="AA1383" s="1">
        <v>10185500</v>
      </c>
      <c r="AB1383" s="1" t="s">
        <v>1194</v>
      </c>
      <c r="AC1383" s="5">
        <v>42793</v>
      </c>
      <c r="AF1383" s="1">
        <v>10019</v>
      </c>
      <c r="AI1383" s="1" t="s">
        <v>233</v>
      </c>
      <c r="AJ1383" s="1">
        <v>1930</v>
      </c>
      <c r="AK1383" s="1" t="s">
        <v>46</v>
      </c>
      <c r="AL1383" s="1">
        <v>51</v>
      </c>
    </row>
    <row r="1384" spans="1:38" x14ac:dyDescent="0.2">
      <c r="A1384" s="2" t="str">
        <f>HYPERLINK("https://www.compass.com/listing/425-west-50th-street-unit-phb-manhattan-ny-10019/29389228156701473/","425 W 50th St, Unit PHB")</f>
        <v>425 W 50th St, Unit PHB</v>
      </c>
      <c r="B1384" s="2" t="str">
        <f t="shared" si="204"/>
        <v>Stella Tower</v>
      </c>
      <c r="C1384" s="1" t="s">
        <v>67</v>
      </c>
      <c r="D1384" s="1" t="s">
        <v>41</v>
      </c>
      <c r="E1384" s="3">
        <v>6723450</v>
      </c>
      <c r="F1384" s="1">
        <v>2501.2834821428501</v>
      </c>
      <c r="G1384" s="1">
        <v>6</v>
      </c>
      <c r="H1384" s="1">
        <v>3</v>
      </c>
      <c r="I1384" s="1">
        <v>5</v>
      </c>
      <c r="J1384" s="1">
        <v>0.5</v>
      </c>
      <c r="L1384" s="1">
        <v>1</v>
      </c>
      <c r="M1384" s="4">
        <v>2688</v>
      </c>
      <c r="N1384" s="1">
        <v>3248</v>
      </c>
      <c r="O1384" s="1">
        <v>6855</v>
      </c>
      <c r="P1384" s="1">
        <v>3607</v>
      </c>
      <c r="Q1384" s="1" t="s">
        <v>42</v>
      </c>
      <c r="S1384" s="1" t="s">
        <v>42</v>
      </c>
      <c r="T1384" s="1" t="s">
        <v>153</v>
      </c>
      <c r="U1384" s="1">
        <v>624</v>
      </c>
      <c r="V1384" s="5">
        <v>43694</v>
      </c>
      <c r="W1384" s="5">
        <v>42454</v>
      </c>
      <c r="X1384" s="1">
        <v>8995000</v>
      </c>
      <c r="Y1384" s="1">
        <v>7250000</v>
      </c>
      <c r="Z1384" s="5">
        <v>43078</v>
      </c>
      <c r="AA1384" s="1">
        <v>6723450</v>
      </c>
      <c r="AB1384" s="1" t="s">
        <v>1195</v>
      </c>
      <c r="AC1384" s="5">
        <v>43112</v>
      </c>
      <c r="AF1384" s="1">
        <v>10019</v>
      </c>
      <c r="AI1384" s="1" t="s">
        <v>158</v>
      </c>
      <c r="AJ1384" s="1">
        <v>1930</v>
      </c>
      <c r="AK1384" s="1" t="s">
        <v>46</v>
      </c>
      <c r="AL1384" s="1">
        <v>51</v>
      </c>
    </row>
    <row r="1385" spans="1:38" x14ac:dyDescent="0.2">
      <c r="A1385" s="2" t="str">
        <f>HYPERLINK("https://www.compass.com/listing/425-west-50th-street-unit-11f-manhattan-ny-10019/803338847194572641/","425 W 50th St, Unit 11F")</f>
        <v>425 W 50th St, Unit 11F</v>
      </c>
      <c r="B1385" s="2" t="str">
        <f t="shared" si="204"/>
        <v>Stella Tower</v>
      </c>
      <c r="C1385" s="1" t="s">
        <v>67</v>
      </c>
      <c r="D1385" s="1" t="s">
        <v>41</v>
      </c>
      <c r="E1385" s="3">
        <v>3707500</v>
      </c>
      <c r="F1385" s="1">
        <v>2049.4748479823102</v>
      </c>
      <c r="G1385" s="1">
        <v>4.5</v>
      </c>
      <c r="H1385" s="1">
        <v>2</v>
      </c>
      <c r="I1385" s="1">
        <v>3</v>
      </c>
      <c r="J1385" s="1">
        <v>2.5</v>
      </c>
      <c r="M1385" s="4">
        <v>1809</v>
      </c>
      <c r="N1385" s="1">
        <v>2046</v>
      </c>
      <c r="O1385" s="1">
        <v>4126</v>
      </c>
      <c r="P1385" s="1">
        <v>2080</v>
      </c>
      <c r="Q1385" s="1" t="s">
        <v>42</v>
      </c>
      <c r="S1385" s="1" t="s">
        <v>42</v>
      </c>
      <c r="T1385" s="1" t="s">
        <v>153</v>
      </c>
      <c r="U1385" s="1">
        <v>50</v>
      </c>
      <c r="V1385" s="5">
        <v>43153</v>
      </c>
      <c r="W1385" s="5">
        <v>43102</v>
      </c>
      <c r="X1385" s="1">
        <v>4195000</v>
      </c>
      <c r="Y1385" s="1">
        <v>3995000</v>
      </c>
      <c r="AA1385" s="1">
        <v>3707500</v>
      </c>
      <c r="AB1385" s="1" t="s">
        <v>1187</v>
      </c>
      <c r="AC1385" s="5">
        <v>43242</v>
      </c>
      <c r="AF1385" s="1">
        <v>10019</v>
      </c>
      <c r="AI1385" s="1" t="s">
        <v>45</v>
      </c>
      <c r="AJ1385" s="1">
        <v>1930</v>
      </c>
      <c r="AK1385" s="1" t="s">
        <v>46</v>
      </c>
      <c r="AL1385" s="1">
        <v>51</v>
      </c>
    </row>
    <row r="1386" spans="1:38" x14ac:dyDescent="0.2">
      <c r="A1386" s="2" t="str">
        <f>HYPERLINK("https://www.compass.com/listing/105-bennett-avenue-unit-55b-manhattan-ny-10033/29436872338034961/","105 Bennett Ave, Unit 55B")</f>
        <v>105 Bennett Ave, Unit 55B</v>
      </c>
      <c r="B1386" s="2" t="str">
        <f>HYPERLINK("https://www.compass.com/building/105-bennett-ave-manhattan-ny-10033/282010034911706389/","105 Bennett Ave")</f>
        <v>105 Bennett Ave</v>
      </c>
      <c r="C1386" s="1" t="s">
        <v>1184</v>
      </c>
      <c r="D1386" s="1" t="s">
        <v>41</v>
      </c>
      <c r="E1386" s="3">
        <v>560000</v>
      </c>
      <c r="F1386" s="1">
        <v>700</v>
      </c>
      <c r="G1386" s="1">
        <v>4</v>
      </c>
      <c r="H1386" s="1">
        <v>2</v>
      </c>
      <c r="I1386" s="1">
        <v>1</v>
      </c>
      <c r="J1386" s="1">
        <v>1</v>
      </c>
      <c r="M1386" s="1">
        <v>800</v>
      </c>
      <c r="N1386" s="1">
        <v>529</v>
      </c>
      <c r="O1386" s="1">
        <v>777</v>
      </c>
      <c r="P1386" s="1">
        <v>248</v>
      </c>
      <c r="Q1386" s="1" t="s">
        <v>42</v>
      </c>
      <c r="S1386" s="1" t="s">
        <v>42</v>
      </c>
      <c r="T1386" s="1" t="s">
        <v>153</v>
      </c>
      <c r="U1386" s="1">
        <v>178</v>
      </c>
      <c r="V1386" s="5">
        <v>43624</v>
      </c>
      <c r="W1386" s="5">
        <v>42532</v>
      </c>
      <c r="X1386" s="1">
        <v>592000</v>
      </c>
      <c r="Y1386" s="1">
        <v>592000</v>
      </c>
      <c r="Z1386" s="5">
        <v>42710</v>
      </c>
      <c r="AA1386" s="1">
        <v>560000</v>
      </c>
      <c r="AB1386" s="1" t="s">
        <v>1196</v>
      </c>
      <c r="AC1386" s="5">
        <v>42788</v>
      </c>
      <c r="AF1386" s="1">
        <v>10033</v>
      </c>
      <c r="AJ1386" s="1">
        <v>1939</v>
      </c>
      <c r="AL1386" s="1">
        <v>65</v>
      </c>
    </row>
    <row r="1387" spans="1:38" x14ac:dyDescent="0.2">
      <c r="A1387" s="2" t="str">
        <f>HYPERLINK("https://www.compass.com/listing/425-west-50th-street-unit-14b-manhattan-ny-10019/803336146708602697/","425 W 50th St, Unit 14B")</f>
        <v>425 W 50th St, Unit 14B</v>
      </c>
      <c r="B1387" s="2" t="str">
        <f t="shared" ref="B1387:B1388" si="205">HYPERLINK("https://www.compass.com/building/stella-tower-manhattan-ny/281945855710262181/","Stella Tower")</f>
        <v>Stella Tower</v>
      </c>
      <c r="C1387" s="1" t="s">
        <v>67</v>
      </c>
      <c r="D1387" s="1" t="s">
        <v>41</v>
      </c>
      <c r="E1387" s="3">
        <v>4500000</v>
      </c>
      <c r="F1387" s="1">
        <v>2875.3993610223602</v>
      </c>
      <c r="G1387" s="1">
        <v>4</v>
      </c>
      <c r="H1387" s="1">
        <v>2</v>
      </c>
      <c r="I1387" s="1">
        <v>3</v>
      </c>
      <c r="J1387" s="1">
        <v>2.5</v>
      </c>
      <c r="M1387" s="4">
        <v>1565</v>
      </c>
      <c r="N1387" s="1">
        <v>1940</v>
      </c>
      <c r="O1387" s="1">
        <v>3873</v>
      </c>
      <c r="P1387" s="1">
        <v>1933</v>
      </c>
      <c r="Q1387" s="1" t="s">
        <v>42</v>
      </c>
      <c r="S1387" s="1" t="s">
        <v>42</v>
      </c>
      <c r="T1387" s="1" t="s">
        <v>153</v>
      </c>
      <c r="U1387" s="1">
        <v>309</v>
      </c>
      <c r="V1387" s="5">
        <v>42809</v>
      </c>
      <c r="W1387" s="5">
        <v>42499</v>
      </c>
      <c r="X1387" s="1">
        <v>4500000</v>
      </c>
      <c r="Y1387" s="1">
        <v>4500000</v>
      </c>
      <c r="AB1387" s="1" t="s">
        <v>177</v>
      </c>
      <c r="AC1387" s="5">
        <v>42809</v>
      </c>
      <c r="AF1387" s="1">
        <v>10019</v>
      </c>
      <c r="AI1387" s="1" t="s">
        <v>45</v>
      </c>
      <c r="AJ1387" s="1">
        <v>1930</v>
      </c>
      <c r="AK1387" s="1" t="s">
        <v>49</v>
      </c>
      <c r="AL1387" s="1">
        <v>51</v>
      </c>
    </row>
    <row r="1388" spans="1:38" x14ac:dyDescent="0.2">
      <c r="A1388" s="2" t="str">
        <f>HYPERLINK("https://www.compass.com/listing/425-west-50th-street-unit-10a-manhattan-ny-10019/29389202219182289/","425 W 50th St, Unit 10A")</f>
        <v>425 W 50th St, Unit 10A</v>
      </c>
      <c r="B1388" s="2" t="str">
        <f t="shared" si="205"/>
        <v>Stella Tower</v>
      </c>
      <c r="C1388" s="1" t="s">
        <v>67</v>
      </c>
      <c r="D1388" s="1" t="s">
        <v>41</v>
      </c>
      <c r="E1388" s="3">
        <v>6109500</v>
      </c>
      <c r="F1388" s="1">
        <v>2753.26723749436</v>
      </c>
      <c r="G1388" s="1">
        <v>4</v>
      </c>
      <c r="H1388" s="1">
        <v>2</v>
      </c>
      <c r="I1388" s="1">
        <v>3</v>
      </c>
      <c r="J1388" s="1">
        <v>3</v>
      </c>
      <c r="M1388" s="4">
        <v>2219</v>
      </c>
      <c r="N1388" s="1">
        <v>2602</v>
      </c>
      <c r="O1388" s="1">
        <v>4196</v>
      </c>
      <c r="P1388" s="1">
        <v>1594</v>
      </c>
      <c r="Q1388" s="1" t="s">
        <v>42</v>
      </c>
      <c r="S1388" s="1" t="s">
        <v>42</v>
      </c>
      <c r="T1388" s="1" t="s">
        <v>153</v>
      </c>
      <c r="V1388" s="5">
        <v>43654</v>
      </c>
      <c r="W1388" s="5">
        <v>41976</v>
      </c>
      <c r="X1388" s="1">
        <v>6000000</v>
      </c>
      <c r="Y1388" s="1">
        <v>6000000</v>
      </c>
      <c r="Z1388" s="5">
        <v>41976</v>
      </c>
      <c r="AA1388" s="1">
        <v>6109500</v>
      </c>
      <c r="AB1388" s="1" t="s">
        <v>1197</v>
      </c>
      <c r="AC1388" s="5">
        <v>41991</v>
      </c>
      <c r="AF1388" s="1">
        <v>10019</v>
      </c>
      <c r="AI1388" s="1" t="s">
        <v>45</v>
      </c>
      <c r="AJ1388" s="1">
        <v>1930</v>
      </c>
      <c r="AK1388" s="1" t="s">
        <v>46</v>
      </c>
      <c r="AL1388" s="1">
        <v>51</v>
      </c>
    </row>
    <row r="1389" spans="1:38" x14ac:dyDescent="0.2">
      <c r="A1389" s="2" t="str">
        <f>HYPERLINK("https://www.compass.com/listing/57-west-127th-street-unit-2-manhattan-ny-10027/29428348715331265/","57 W 127th St, Unit 2")</f>
        <v>57 W 127th St, Unit 2</v>
      </c>
      <c r="B1389" s="2" t="str">
        <f t="shared" ref="B1389:B1391" si="206">HYPERLINK("https://www.compass.com/building/san-giorgio-manhattan-ny/281983292037763781/","San Giorgio")</f>
        <v>San Giorgio</v>
      </c>
      <c r="C1389" s="1" t="s">
        <v>141</v>
      </c>
      <c r="D1389" s="1" t="s">
        <v>41</v>
      </c>
      <c r="E1389" s="3">
        <v>913000</v>
      </c>
      <c r="F1389" s="1">
        <v>861.32075471698101</v>
      </c>
      <c r="G1389" s="1">
        <v>4</v>
      </c>
      <c r="H1389" s="1">
        <v>2</v>
      </c>
      <c r="I1389" s="1">
        <v>2</v>
      </c>
      <c r="J1389" s="1">
        <v>2</v>
      </c>
      <c r="M1389" s="4">
        <v>1060</v>
      </c>
      <c r="N1389" s="1">
        <v>641</v>
      </c>
      <c r="O1389" s="1">
        <v>2041</v>
      </c>
      <c r="P1389" s="1">
        <v>1400</v>
      </c>
      <c r="Q1389" s="1" t="s">
        <v>42</v>
      </c>
      <c r="S1389" s="1" t="s">
        <v>42</v>
      </c>
      <c r="T1389" s="1" t="s">
        <v>153</v>
      </c>
      <c r="U1389" s="1">
        <v>114</v>
      </c>
      <c r="V1389" s="5">
        <v>42879</v>
      </c>
      <c r="W1389" s="5">
        <v>41976</v>
      </c>
      <c r="X1389" s="1">
        <v>913000</v>
      </c>
      <c r="Y1389" s="1">
        <v>913000</v>
      </c>
      <c r="Z1389" s="5">
        <v>42091</v>
      </c>
      <c r="AA1389" s="1">
        <v>913000</v>
      </c>
      <c r="AB1389" s="1" t="s">
        <v>1198</v>
      </c>
      <c r="AC1389" s="5">
        <v>42376</v>
      </c>
      <c r="AF1389" s="1">
        <v>10027</v>
      </c>
      <c r="AI1389" s="1" t="s">
        <v>139</v>
      </c>
      <c r="AJ1389" s="1">
        <v>1899</v>
      </c>
      <c r="AL1389" s="1">
        <v>6</v>
      </c>
    </row>
    <row r="1390" spans="1:38" x14ac:dyDescent="0.2">
      <c r="A1390" s="2" t="str">
        <f>HYPERLINK("https://www.compass.com/listing/57-west-127th-street-unit-3-manhattan-ny-10027/29428349092832209/","57 W 127th St, Unit 3")</f>
        <v>57 W 127th St, Unit 3</v>
      </c>
      <c r="B1390" s="2" t="str">
        <f t="shared" si="206"/>
        <v>San Giorgio</v>
      </c>
      <c r="C1390" s="1" t="s">
        <v>141</v>
      </c>
      <c r="D1390" s="1" t="s">
        <v>41</v>
      </c>
      <c r="E1390" s="3">
        <v>903167</v>
      </c>
      <c r="F1390" s="1">
        <v>852.04433962264102</v>
      </c>
      <c r="G1390" s="1">
        <v>4</v>
      </c>
      <c r="H1390" s="1">
        <v>2</v>
      </c>
      <c r="I1390" s="1">
        <v>2</v>
      </c>
      <c r="J1390" s="1">
        <v>2</v>
      </c>
      <c r="M1390" s="4">
        <v>1060</v>
      </c>
      <c r="N1390" s="1">
        <v>633</v>
      </c>
      <c r="O1390" s="1">
        <v>633</v>
      </c>
      <c r="Q1390" s="1" t="s">
        <v>42</v>
      </c>
      <c r="S1390" s="1" t="s">
        <v>42</v>
      </c>
      <c r="T1390" s="1" t="s">
        <v>153</v>
      </c>
      <c r="U1390" s="1">
        <v>170</v>
      </c>
      <c r="V1390" s="5">
        <v>42879</v>
      </c>
      <c r="W1390" s="5">
        <v>41976</v>
      </c>
      <c r="X1390" s="1">
        <v>902000</v>
      </c>
      <c r="Y1390" s="1">
        <v>902000</v>
      </c>
      <c r="Z1390" s="5">
        <v>42146</v>
      </c>
      <c r="AA1390" s="1">
        <v>903167</v>
      </c>
      <c r="AB1390" s="1" t="s">
        <v>1199</v>
      </c>
      <c r="AC1390" s="5">
        <v>42320</v>
      </c>
      <c r="AF1390" s="1">
        <v>10027</v>
      </c>
      <c r="AI1390" s="1" t="s">
        <v>139</v>
      </c>
      <c r="AJ1390" s="1">
        <v>1899</v>
      </c>
      <c r="AL1390" s="1">
        <v>6</v>
      </c>
    </row>
    <row r="1391" spans="1:38" x14ac:dyDescent="0.2">
      <c r="A1391" s="2" t="str">
        <f>HYPERLINK("https://www.compass.com/listing/57-west-127th-street-unit-4-manhattan-ny-10027/29428349520583633/","57 W 127th St, Unit 4")</f>
        <v>57 W 127th St, Unit 4</v>
      </c>
      <c r="B1391" s="2" t="str">
        <f t="shared" si="206"/>
        <v>San Giorgio</v>
      </c>
      <c r="C1391" s="1" t="s">
        <v>141</v>
      </c>
      <c r="D1391" s="1" t="s">
        <v>41</v>
      </c>
      <c r="E1391" s="3">
        <v>865513</v>
      </c>
      <c r="F1391" s="1">
        <v>816.52122641509402</v>
      </c>
      <c r="G1391" s="1">
        <v>4</v>
      </c>
      <c r="H1391" s="1">
        <v>2</v>
      </c>
      <c r="I1391" s="1">
        <v>2</v>
      </c>
      <c r="J1391" s="1">
        <v>2</v>
      </c>
      <c r="M1391" s="4">
        <v>1060</v>
      </c>
      <c r="N1391" s="1">
        <v>596</v>
      </c>
      <c r="O1391" s="1">
        <v>596</v>
      </c>
      <c r="Q1391" s="1" t="s">
        <v>42</v>
      </c>
      <c r="S1391" s="1" t="s">
        <v>42</v>
      </c>
      <c r="T1391" s="1" t="s">
        <v>153</v>
      </c>
      <c r="U1391" s="1">
        <v>111</v>
      </c>
      <c r="V1391" s="5">
        <v>42879</v>
      </c>
      <c r="W1391" s="5">
        <v>42027</v>
      </c>
      <c r="X1391" s="1">
        <v>850000</v>
      </c>
      <c r="Y1391" s="1">
        <v>850000</v>
      </c>
      <c r="Z1391" s="5">
        <v>42139</v>
      </c>
      <c r="AA1391" s="1">
        <v>865512.5</v>
      </c>
      <c r="AB1391" s="1" t="s">
        <v>1200</v>
      </c>
      <c r="AC1391" s="5">
        <v>42311</v>
      </c>
      <c r="AF1391" s="1">
        <v>10027</v>
      </c>
      <c r="AI1391" s="1" t="s">
        <v>139</v>
      </c>
      <c r="AJ1391" s="1">
        <v>1899</v>
      </c>
      <c r="AL1391" s="1">
        <v>6</v>
      </c>
    </row>
    <row r="1392" spans="1:38" x14ac:dyDescent="0.2">
      <c r="A1392" s="2" t="str">
        <f>HYPERLINK("https://www.compass.com/listing/432-west-52nd-street-unit-garden-c-manhattan-ny-10019/192571018773032289/","432 W 52nd St, Unit GARDEN/C")</f>
        <v>432 W 52nd St, Unit GARDEN/C</v>
      </c>
      <c r="B1392" s="2" t="str">
        <f t="shared" ref="B1392:B1393" si="207">HYPERLINK("https://www.compass.com/building/432-w-52nd-st-manhattan-ny-10019/292847238378489941/","432 W 52nd St")</f>
        <v>432 W 52nd St</v>
      </c>
      <c r="C1392" s="1" t="s">
        <v>67</v>
      </c>
      <c r="D1392" s="1" t="s">
        <v>41</v>
      </c>
      <c r="E1392" s="3">
        <v>1595000</v>
      </c>
      <c r="F1392" s="1">
        <v>1300.9787928221799</v>
      </c>
      <c r="G1392" s="1">
        <v>3</v>
      </c>
      <c r="H1392" s="1">
        <v>1</v>
      </c>
      <c r="I1392" s="1">
        <v>2</v>
      </c>
      <c r="J1392" s="1">
        <v>1.5</v>
      </c>
      <c r="M1392" s="4">
        <v>1226</v>
      </c>
      <c r="N1392" s="1">
        <v>1347</v>
      </c>
      <c r="O1392" s="1">
        <v>2997</v>
      </c>
      <c r="P1392" s="1">
        <v>1650</v>
      </c>
      <c r="Q1392" s="1" t="s">
        <v>42</v>
      </c>
      <c r="S1392" s="1" t="s">
        <v>42</v>
      </c>
      <c r="T1392" s="1" t="s">
        <v>153</v>
      </c>
      <c r="V1392" s="5">
        <v>43654</v>
      </c>
      <c r="W1392" s="5">
        <v>42055</v>
      </c>
      <c r="X1392" s="1">
        <v>1595000</v>
      </c>
      <c r="Y1392" s="1">
        <v>1595000</v>
      </c>
      <c r="Z1392" s="5">
        <v>42055</v>
      </c>
      <c r="AA1392" s="1">
        <v>1595000</v>
      </c>
      <c r="AB1392" s="1" t="s">
        <v>177</v>
      </c>
      <c r="AC1392" s="5">
        <v>42094</v>
      </c>
      <c r="AF1392" s="1">
        <v>10019</v>
      </c>
      <c r="AI1392" s="1" t="s">
        <v>55</v>
      </c>
      <c r="AJ1392" s="1">
        <v>1950</v>
      </c>
      <c r="AK1392" s="1" t="s">
        <v>121</v>
      </c>
      <c r="AL1392" s="1">
        <v>55</v>
      </c>
    </row>
    <row r="1393" spans="1:38" x14ac:dyDescent="0.2">
      <c r="A1393" s="2" t="str">
        <f>HYPERLINK("https://www.compass.com/listing/432-west-52nd-street-unit-garden-b-manhattan-ny-10019/192571337850507921/","432 W 52nd St, Unit GARDEN/B")</f>
        <v>432 W 52nd St, Unit GARDEN/B</v>
      </c>
      <c r="B1393" s="2" t="str">
        <f t="shared" si="207"/>
        <v>432 W 52nd St</v>
      </c>
      <c r="C1393" s="1" t="s">
        <v>67</v>
      </c>
      <c r="D1393" s="1" t="s">
        <v>41</v>
      </c>
      <c r="E1393" s="3">
        <v>1695000</v>
      </c>
      <c r="F1393" s="1">
        <v>1329.4117647058799</v>
      </c>
      <c r="G1393" s="1">
        <v>4</v>
      </c>
      <c r="H1393" s="1">
        <v>1</v>
      </c>
      <c r="I1393" s="1">
        <v>2</v>
      </c>
      <c r="J1393" s="1">
        <v>1.5</v>
      </c>
      <c r="M1393" s="4">
        <v>1275</v>
      </c>
      <c r="N1393" s="1">
        <v>1474</v>
      </c>
      <c r="O1393" s="1">
        <v>3190</v>
      </c>
      <c r="P1393" s="1">
        <v>1716</v>
      </c>
      <c r="Q1393" s="1" t="s">
        <v>42</v>
      </c>
      <c r="S1393" s="1" t="s">
        <v>42</v>
      </c>
      <c r="T1393" s="1" t="s">
        <v>153</v>
      </c>
      <c r="V1393" s="5">
        <v>43651</v>
      </c>
      <c r="W1393" s="5">
        <v>42045</v>
      </c>
      <c r="X1393" s="1">
        <v>1695000</v>
      </c>
      <c r="Y1393" s="1">
        <v>1695000</v>
      </c>
      <c r="Z1393" s="5">
        <v>42045</v>
      </c>
      <c r="AA1393" s="1">
        <v>1695000</v>
      </c>
      <c r="AB1393" s="1" t="s">
        <v>177</v>
      </c>
      <c r="AC1393" s="5">
        <v>42242</v>
      </c>
      <c r="AF1393" s="1">
        <v>10019</v>
      </c>
      <c r="AI1393" s="1" t="s">
        <v>55</v>
      </c>
      <c r="AJ1393" s="1">
        <v>1950</v>
      </c>
      <c r="AK1393" s="1" t="s">
        <v>121</v>
      </c>
      <c r="AL1393" s="1">
        <v>55</v>
      </c>
    </row>
    <row r="1394" spans="1:38" x14ac:dyDescent="0.2">
      <c r="A1394" s="2" t="str">
        <f>HYPERLINK("https://www.compass.com/listing/10-lenox-avenue-unit-3c-manhattan-ny-10026/254122516375790129/","10 Lenox Ave, Unit 3C")</f>
        <v>10 Lenox Ave, Unit 3C</v>
      </c>
      <c r="B1394" s="2" t="str">
        <f>HYPERLINK("https://www.compass.com/building/10-lenox-manhattan-ny/455664456039547173/","10 Lenox")</f>
        <v>10 Lenox</v>
      </c>
      <c r="C1394" s="1" t="s">
        <v>60</v>
      </c>
      <c r="D1394" s="1" t="s">
        <v>41</v>
      </c>
      <c r="E1394" s="3">
        <v>1069163</v>
      </c>
      <c r="F1394" s="1">
        <v>1334.7846441947499</v>
      </c>
      <c r="G1394" s="1">
        <v>3</v>
      </c>
      <c r="H1394" s="1">
        <v>1</v>
      </c>
      <c r="I1394" s="1">
        <v>1</v>
      </c>
      <c r="J1394" s="1">
        <v>1</v>
      </c>
      <c r="K1394" s="1">
        <v>1</v>
      </c>
      <c r="M1394" s="1">
        <v>801</v>
      </c>
      <c r="N1394" s="1">
        <v>722</v>
      </c>
      <c r="O1394" s="1">
        <v>1203</v>
      </c>
      <c r="P1394" s="1">
        <v>481</v>
      </c>
      <c r="Q1394" s="1" t="s">
        <v>42</v>
      </c>
      <c r="S1394" s="1" t="s">
        <v>42</v>
      </c>
      <c r="T1394" s="1" t="s">
        <v>153</v>
      </c>
      <c r="U1394" s="1">
        <v>74</v>
      </c>
      <c r="V1394" s="5">
        <v>43922</v>
      </c>
      <c r="W1394" s="5">
        <v>43528</v>
      </c>
      <c r="X1394" s="1">
        <v>1050000</v>
      </c>
      <c r="Y1394" s="1">
        <v>1050000</v>
      </c>
      <c r="Z1394" s="5">
        <v>43602</v>
      </c>
      <c r="AA1394" s="1">
        <v>1069162.5</v>
      </c>
      <c r="AB1394" s="1" t="s">
        <v>1201</v>
      </c>
      <c r="AC1394" s="5">
        <v>43921</v>
      </c>
      <c r="AF1394" s="1">
        <v>10026</v>
      </c>
      <c r="AI1394" s="1" t="s">
        <v>207</v>
      </c>
      <c r="AJ1394" s="1">
        <v>2019</v>
      </c>
      <c r="AK1394" s="1" t="s">
        <v>64</v>
      </c>
      <c r="AL1394" s="1">
        <v>29</v>
      </c>
    </row>
    <row r="1395" spans="1:38" x14ac:dyDescent="0.2">
      <c r="A1395" s="2" t="str">
        <f>HYPERLINK("https://www.compass.com/listing/424-west-52nd-street-unit-5-manhattan-ny-10019/748556856917813737/","424 W 52nd St, Unit 5")</f>
        <v>424 W 52nd St, Unit 5</v>
      </c>
      <c r="B1395" s="2" t="str">
        <f t="shared" ref="B1395:B1396" si="208">HYPERLINK("https://www.compass.com/building/424-w-52nd-st-manhattan-ny-10019/293533825726707925/","424 W 52nd St")</f>
        <v>424 W 52nd St</v>
      </c>
      <c r="C1395" s="1" t="s">
        <v>67</v>
      </c>
      <c r="D1395" s="1" t="s">
        <v>41</v>
      </c>
      <c r="E1395" s="3">
        <v>2123051</v>
      </c>
      <c r="F1395" s="1">
        <v>1608.3721590908999</v>
      </c>
      <c r="G1395" s="1">
        <v>4</v>
      </c>
      <c r="H1395" s="1">
        <v>2</v>
      </c>
      <c r="I1395" s="1">
        <v>2</v>
      </c>
      <c r="J1395" s="1">
        <v>2</v>
      </c>
      <c r="K1395" s="1">
        <v>2</v>
      </c>
      <c r="M1395" s="4">
        <v>1320</v>
      </c>
      <c r="N1395" s="1">
        <v>511</v>
      </c>
      <c r="O1395" s="1">
        <v>2142</v>
      </c>
      <c r="P1395" s="1">
        <v>1631</v>
      </c>
      <c r="Q1395" s="1" t="s">
        <v>42</v>
      </c>
      <c r="S1395" s="1" t="s">
        <v>42</v>
      </c>
      <c r="T1395" s="1" t="s">
        <v>153</v>
      </c>
      <c r="U1395" s="1">
        <v>4</v>
      </c>
      <c r="V1395" s="5">
        <v>44391</v>
      </c>
      <c r="W1395" s="5">
        <v>44280</v>
      </c>
      <c r="X1395" s="1">
        <v>2139000</v>
      </c>
      <c r="Y1395" s="1">
        <v>2139000</v>
      </c>
      <c r="Z1395" s="5">
        <v>44285</v>
      </c>
      <c r="AA1395" s="1">
        <v>2123051.25</v>
      </c>
      <c r="AB1395" s="1" t="s">
        <v>1202</v>
      </c>
      <c r="AC1395" s="5">
        <v>44378</v>
      </c>
      <c r="AF1395" s="1">
        <v>10019</v>
      </c>
      <c r="AI1395" s="1" t="s">
        <v>125</v>
      </c>
      <c r="AJ1395" s="1">
        <v>1998</v>
      </c>
      <c r="AK1395" s="1" t="s">
        <v>86</v>
      </c>
      <c r="AL1395" s="1">
        <v>2</v>
      </c>
    </row>
    <row r="1396" spans="1:38" x14ac:dyDescent="0.2">
      <c r="A1396" s="2" t="str">
        <f>HYPERLINK("https://www.compass.com/listing/424-west-52nd-street-unit-7-manhattan-ny-10019/748557258983647105/","424 W 52nd St, Unit 7")</f>
        <v>424 W 52nd St, Unit 7</v>
      </c>
      <c r="B1396" s="2" t="str">
        <f t="shared" si="208"/>
        <v>424 W 52nd St</v>
      </c>
      <c r="C1396" s="1" t="s">
        <v>67</v>
      </c>
      <c r="D1396" s="1" t="s">
        <v>41</v>
      </c>
      <c r="E1396" s="3">
        <v>2391869</v>
      </c>
      <c r="F1396" s="1">
        <v>1812.0221590909</v>
      </c>
      <c r="G1396" s="1">
        <v>4</v>
      </c>
      <c r="H1396" s="1">
        <v>2</v>
      </c>
      <c r="I1396" s="1">
        <v>2</v>
      </c>
      <c r="J1396" s="1">
        <v>2</v>
      </c>
      <c r="K1396" s="1">
        <v>2</v>
      </c>
      <c r="M1396" s="4">
        <v>1320</v>
      </c>
      <c r="N1396" s="1">
        <v>556</v>
      </c>
      <c r="O1396" s="1">
        <v>2330</v>
      </c>
      <c r="P1396" s="1">
        <v>1774</v>
      </c>
      <c r="Q1396" s="1" t="s">
        <v>42</v>
      </c>
      <c r="S1396" s="1" t="s">
        <v>42</v>
      </c>
      <c r="T1396" s="1" t="s">
        <v>153</v>
      </c>
      <c r="U1396" s="1">
        <v>4</v>
      </c>
      <c r="V1396" s="5">
        <v>44377</v>
      </c>
      <c r="W1396" s="5">
        <v>44280</v>
      </c>
      <c r="X1396" s="1">
        <v>2349000</v>
      </c>
      <c r="Y1396" s="1">
        <v>2349000</v>
      </c>
      <c r="Z1396" s="5">
        <v>44285</v>
      </c>
      <c r="AA1396" s="1">
        <v>2391869.25</v>
      </c>
      <c r="AB1396" s="1" t="s">
        <v>1203</v>
      </c>
      <c r="AC1396" s="5">
        <v>44375</v>
      </c>
      <c r="AF1396" s="1">
        <v>10019</v>
      </c>
      <c r="AI1396" s="1" t="s">
        <v>1204</v>
      </c>
      <c r="AJ1396" s="1">
        <v>1998</v>
      </c>
      <c r="AK1396" s="1" t="s">
        <v>86</v>
      </c>
      <c r="AL1396" s="1">
        <v>2</v>
      </c>
    </row>
    <row r="1397" spans="1:38" x14ac:dyDescent="0.2">
      <c r="A1397" s="2" t="str">
        <f>HYPERLINK("https://www.compass.com/listing/425-west-50th-street-unit-11d-manhattan-ny-10019/29389208015720657/","425 W 50th St, Unit 11D")</f>
        <v>425 W 50th St, Unit 11D</v>
      </c>
      <c r="B1397" s="2" t="str">
        <f t="shared" ref="B1397:B1400" si="209">HYPERLINK("https://www.compass.com/building/stella-tower-manhattan-ny/281945855710262181/","Stella Tower")</f>
        <v>Stella Tower</v>
      </c>
      <c r="C1397" s="1" t="s">
        <v>67</v>
      </c>
      <c r="D1397" s="1" t="s">
        <v>41</v>
      </c>
      <c r="E1397" s="3">
        <v>3719613</v>
      </c>
      <c r="F1397" s="1">
        <v>2038.14410958904</v>
      </c>
      <c r="G1397" s="1">
        <v>6</v>
      </c>
      <c r="H1397" s="1">
        <v>2</v>
      </c>
      <c r="I1397" s="1">
        <v>3</v>
      </c>
      <c r="J1397" s="1">
        <v>3</v>
      </c>
      <c r="M1397" s="4">
        <v>1825</v>
      </c>
      <c r="N1397" s="1">
        <v>2064</v>
      </c>
      <c r="O1397" s="1">
        <v>3328</v>
      </c>
      <c r="P1397" s="1">
        <v>1264</v>
      </c>
      <c r="Q1397" s="1" t="s">
        <v>42</v>
      </c>
      <c r="S1397" s="1" t="s">
        <v>42</v>
      </c>
      <c r="T1397" s="1" t="s">
        <v>153</v>
      </c>
      <c r="U1397" s="1">
        <v>2</v>
      </c>
      <c r="V1397" s="5">
        <v>43643</v>
      </c>
      <c r="W1397" s="5">
        <v>42717</v>
      </c>
      <c r="X1397" s="1">
        <v>3995000</v>
      </c>
      <c r="Y1397" s="1">
        <v>4000000</v>
      </c>
      <c r="Z1397" s="5">
        <v>42719</v>
      </c>
      <c r="AA1397" s="1">
        <v>3719613</v>
      </c>
      <c r="AB1397" s="1" t="s">
        <v>1158</v>
      </c>
      <c r="AC1397" s="5">
        <v>42775</v>
      </c>
      <c r="AF1397" s="1">
        <v>10019</v>
      </c>
      <c r="AI1397" s="1" t="s">
        <v>45</v>
      </c>
      <c r="AJ1397" s="1">
        <v>1930</v>
      </c>
      <c r="AK1397" s="1" t="s">
        <v>46</v>
      </c>
      <c r="AL1397" s="1">
        <v>51</v>
      </c>
    </row>
    <row r="1398" spans="1:38" x14ac:dyDescent="0.2">
      <c r="A1398" s="2" t="str">
        <f>HYPERLINK("https://www.compass.com/listing/425-west-50th-street-unit-10e-manhattan-ny-10019/29389204928702737/","425 W 50th St, Unit 10E")</f>
        <v>425 W 50th St, Unit 10E</v>
      </c>
      <c r="B1398" s="2" t="str">
        <f t="shared" si="209"/>
        <v>Stella Tower</v>
      </c>
      <c r="C1398" s="1" t="s">
        <v>67</v>
      </c>
      <c r="D1398" s="1" t="s">
        <v>41</v>
      </c>
      <c r="E1398" s="3">
        <v>3000000</v>
      </c>
      <c r="F1398" s="1">
        <v>1982.8155981493701</v>
      </c>
      <c r="H1398" s="1">
        <v>1</v>
      </c>
      <c r="J1398" s="1">
        <v>2</v>
      </c>
      <c r="K1398" s="1">
        <v>2</v>
      </c>
      <c r="M1398" s="4">
        <v>1513</v>
      </c>
      <c r="N1398" s="1">
        <v>1709</v>
      </c>
      <c r="O1398" s="1">
        <v>2756</v>
      </c>
      <c r="P1398" s="1">
        <v>1047</v>
      </c>
      <c r="Q1398" s="1" t="s">
        <v>42</v>
      </c>
      <c r="S1398" s="1" t="s">
        <v>42</v>
      </c>
      <c r="T1398" s="1" t="s">
        <v>153</v>
      </c>
      <c r="AA1398" s="1">
        <v>3000000</v>
      </c>
      <c r="AB1398" s="1" t="s">
        <v>1205</v>
      </c>
      <c r="AC1398" s="5">
        <v>42284</v>
      </c>
      <c r="AF1398" s="1">
        <v>10019</v>
      </c>
      <c r="AI1398" s="1" t="s">
        <v>45</v>
      </c>
      <c r="AJ1398" s="1">
        <v>1930</v>
      </c>
      <c r="AK1398" s="1" t="s">
        <v>49</v>
      </c>
      <c r="AL1398" s="1">
        <v>51</v>
      </c>
    </row>
    <row r="1399" spans="1:38" x14ac:dyDescent="0.2">
      <c r="A1399" s="2" t="str">
        <f>HYPERLINK("https://www.compass.com/listing/425-west-50th-street-unit-12e-manhattan-ny-10019/29389214189726193/","425 W 50th St, Unit 12E")</f>
        <v>425 W 50th St, Unit 12E</v>
      </c>
      <c r="B1399" s="2" t="str">
        <f t="shared" si="209"/>
        <v>Stella Tower</v>
      </c>
      <c r="C1399" s="1" t="s">
        <v>67</v>
      </c>
      <c r="D1399" s="1" t="s">
        <v>41</v>
      </c>
      <c r="E1399" s="3">
        <v>2300000</v>
      </c>
      <c r="F1399" s="1">
        <v>1631.20567375886</v>
      </c>
      <c r="H1399" s="1">
        <v>1</v>
      </c>
      <c r="J1399" s="1">
        <v>2</v>
      </c>
      <c r="M1399" s="4">
        <v>1410</v>
      </c>
      <c r="N1399" s="1">
        <v>1596</v>
      </c>
      <c r="O1399" s="1">
        <v>2573</v>
      </c>
      <c r="P1399" s="1">
        <v>977</v>
      </c>
      <c r="Q1399" s="1" t="s">
        <v>42</v>
      </c>
      <c r="S1399" s="1" t="s">
        <v>42</v>
      </c>
      <c r="T1399" s="1" t="s">
        <v>153</v>
      </c>
      <c r="AA1399" s="1">
        <v>2300000</v>
      </c>
      <c r="AB1399" s="1" t="s">
        <v>1206</v>
      </c>
      <c r="AC1399" s="5">
        <v>42668</v>
      </c>
      <c r="AF1399" s="1">
        <v>10019</v>
      </c>
      <c r="AI1399" s="1" t="s">
        <v>45</v>
      </c>
      <c r="AJ1399" s="1">
        <v>1930</v>
      </c>
      <c r="AK1399" s="1" t="s">
        <v>49</v>
      </c>
      <c r="AL1399" s="1">
        <v>51</v>
      </c>
    </row>
    <row r="1400" spans="1:38" x14ac:dyDescent="0.2">
      <c r="A1400" s="2" t="str">
        <f>HYPERLINK("https://www.compass.com/listing/425-west-50th-street-unit-14g-manhattan-ny-10019/454048880829612385/","425 W 50th St, Unit 14G")</f>
        <v>425 W 50th St, Unit 14G</v>
      </c>
      <c r="B1400" s="2" t="str">
        <f t="shared" si="209"/>
        <v>Stella Tower</v>
      </c>
      <c r="C1400" s="1" t="s">
        <v>67</v>
      </c>
      <c r="D1400" s="1" t="s">
        <v>41</v>
      </c>
      <c r="E1400" s="3">
        <v>2300000</v>
      </c>
      <c r="F1400" s="1">
        <v>1666.6666666666599</v>
      </c>
      <c r="H1400" s="1">
        <v>1</v>
      </c>
      <c r="J1400" s="1">
        <v>2</v>
      </c>
      <c r="K1400" s="1">
        <v>2</v>
      </c>
      <c r="M1400" s="4">
        <v>1380</v>
      </c>
      <c r="N1400" s="1">
        <v>1638</v>
      </c>
      <c r="O1400" s="1">
        <v>3288</v>
      </c>
      <c r="P1400" s="1">
        <v>1650</v>
      </c>
      <c r="Q1400" s="1" t="s">
        <v>42</v>
      </c>
      <c r="S1400" s="1" t="s">
        <v>42</v>
      </c>
      <c r="T1400" s="1" t="s">
        <v>153</v>
      </c>
      <c r="AA1400" s="1">
        <v>2300000</v>
      </c>
      <c r="AB1400" s="1" t="s">
        <v>1207</v>
      </c>
      <c r="AC1400" s="5">
        <v>43864</v>
      </c>
      <c r="AF1400" s="1">
        <v>10019</v>
      </c>
      <c r="AI1400" s="1" t="s">
        <v>45</v>
      </c>
      <c r="AJ1400" s="1">
        <v>1930</v>
      </c>
      <c r="AK1400" s="1" t="s">
        <v>49</v>
      </c>
      <c r="AL1400" s="1">
        <v>51</v>
      </c>
    </row>
    <row r="1401" spans="1:38" x14ac:dyDescent="0.2">
      <c r="A1401" s="2" t="str">
        <f>HYPERLINK("https://www.compass.com/listing/57-west-127th-street-unit-1-manhattan-ny-10027/29428348346178481/","57 W 127th St, Unit 1")</f>
        <v>57 W 127th St, Unit 1</v>
      </c>
      <c r="B1401" s="2" t="str">
        <f>HYPERLINK("https://www.compass.com/building/san-giorgio-manhattan-ny/281983292037763781/","San Giorgio")</f>
        <v>San Giorgio</v>
      </c>
      <c r="C1401" s="1" t="s">
        <v>141</v>
      </c>
      <c r="D1401" s="1" t="s">
        <v>41</v>
      </c>
      <c r="E1401" s="3">
        <v>910000</v>
      </c>
      <c r="F1401" s="1">
        <v>858.49056603773499</v>
      </c>
      <c r="G1401" s="1">
        <v>4</v>
      </c>
      <c r="H1401" s="1">
        <v>2</v>
      </c>
      <c r="I1401" s="1">
        <v>2</v>
      </c>
      <c r="J1401" s="1">
        <v>1.5</v>
      </c>
      <c r="M1401" s="4">
        <v>1060</v>
      </c>
      <c r="N1401" s="1">
        <v>638</v>
      </c>
      <c r="O1401" s="1">
        <v>638</v>
      </c>
      <c r="Q1401" s="1" t="s">
        <v>42</v>
      </c>
      <c r="S1401" s="1" t="s">
        <v>42</v>
      </c>
      <c r="T1401" s="1" t="s">
        <v>153</v>
      </c>
      <c r="V1401" s="5">
        <v>42879</v>
      </c>
      <c r="W1401" s="5">
        <v>42083</v>
      </c>
      <c r="X1401" s="1">
        <v>910000</v>
      </c>
      <c r="Y1401" s="1">
        <v>910000</v>
      </c>
      <c r="Z1401" s="5">
        <v>42084</v>
      </c>
      <c r="AA1401" s="1">
        <v>910000</v>
      </c>
      <c r="AB1401" s="1" t="s">
        <v>1208</v>
      </c>
      <c r="AC1401" s="5">
        <v>42523</v>
      </c>
      <c r="AF1401" s="1">
        <v>10027</v>
      </c>
      <c r="AI1401" s="1" t="s">
        <v>139</v>
      </c>
      <c r="AJ1401" s="1">
        <v>1899</v>
      </c>
      <c r="AL1401" s="1">
        <v>6</v>
      </c>
    </row>
    <row r="1402" spans="1:38" x14ac:dyDescent="0.2">
      <c r="A1402" s="2" t="str">
        <f>HYPERLINK("https://www.compass.com/listing/427-west-154th-street-unit-4-manhattan-ny-10032/29434547921863361/","427 W 154th St, Unit 4")</f>
        <v>427 W 154th St, Unit 4</v>
      </c>
      <c r="B1402" s="2" t="str">
        <f>HYPERLINK("https://www.compass.com/building/427-w-154th-st-manhattan-ny-10032/282005560126208341/","427 W 154th St")</f>
        <v>427 W 154th St</v>
      </c>
      <c r="C1402" s="1" t="s">
        <v>82</v>
      </c>
      <c r="D1402" s="1" t="s">
        <v>41</v>
      </c>
      <c r="E1402" s="3">
        <v>702593</v>
      </c>
      <c r="F1402" s="1">
        <v>820.78621495327104</v>
      </c>
      <c r="G1402" s="1">
        <v>4</v>
      </c>
      <c r="H1402" s="1">
        <v>2</v>
      </c>
      <c r="I1402" s="1">
        <v>1</v>
      </c>
      <c r="J1402" s="1">
        <v>1</v>
      </c>
      <c r="K1402" s="1">
        <v>1</v>
      </c>
      <c r="M1402" s="1">
        <v>856</v>
      </c>
      <c r="N1402" s="1">
        <v>503.54</v>
      </c>
      <c r="O1402" s="1">
        <v>622.84</v>
      </c>
      <c r="P1402" s="1">
        <v>119.333333333333</v>
      </c>
      <c r="Q1402" s="1" t="s">
        <v>42</v>
      </c>
      <c r="S1402" s="1" t="s">
        <v>42</v>
      </c>
      <c r="T1402" s="1" t="s">
        <v>153</v>
      </c>
      <c r="U1402" s="1">
        <v>224</v>
      </c>
      <c r="V1402" s="5">
        <v>43641</v>
      </c>
      <c r="W1402" s="5">
        <v>42564</v>
      </c>
      <c r="X1402" s="1">
        <v>650000</v>
      </c>
      <c r="Y1402" s="1">
        <v>650000</v>
      </c>
      <c r="Z1402" s="5">
        <v>42788</v>
      </c>
      <c r="AA1402" s="1">
        <v>702593</v>
      </c>
      <c r="AB1402" s="1" t="s">
        <v>1209</v>
      </c>
      <c r="AC1402" s="5">
        <v>43075</v>
      </c>
      <c r="AF1402" s="1">
        <v>10032</v>
      </c>
      <c r="AJ1402" s="1">
        <v>1985</v>
      </c>
      <c r="AL1402" s="1">
        <v>10</v>
      </c>
    </row>
    <row r="1403" spans="1:38" x14ac:dyDescent="0.2">
      <c r="A1403" s="2" t="str">
        <f>HYPERLINK("https://www.compass.com/listing/10-lenox-avenue-unit-5c-manhattan-ny-10026/267315855476424193/","10 Lenox Ave, Unit 5C")</f>
        <v>10 Lenox Ave, Unit 5C</v>
      </c>
      <c r="B1403" s="2" t="str">
        <f t="shared" ref="B1403:B1404" si="210">HYPERLINK("https://www.compass.com/building/10-lenox-manhattan-ny/455664456039547173/","10 Lenox")</f>
        <v>10 Lenox</v>
      </c>
      <c r="C1403" s="1" t="s">
        <v>60</v>
      </c>
      <c r="D1403" s="1" t="s">
        <v>41</v>
      </c>
      <c r="E1403" s="3">
        <v>1650000</v>
      </c>
      <c r="F1403" s="1">
        <v>1411.46278870829</v>
      </c>
      <c r="G1403" s="1">
        <v>4</v>
      </c>
      <c r="H1403" s="1">
        <v>2</v>
      </c>
      <c r="I1403" s="1">
        <v>2</v>
      </c>
      <c r="J1403" s="1">
        <v>2</v>
      </c>
      <c r="K1403" s="1">
        <v>2</v>
      </c>
      <c r="M1403" s="4">
        <v>1169</v>
      </c>
      <c r="N1403" s="1">
        <v>1053</v>
      </c>
      <c r="O1403" s="1">
        <v>1754</v>
      </c>
      <c r="P1403" s="1">
        <v>701</v>
      </c>
      <c r="Q1403" s="1" t="s">
        <v>42</v>
      </c>
      <c r="S1403" s="1" t="s">
        <v>42</v>
      </c>
      <c r="T1403" s="1" t="s">
        <v>153</v>
      </c>
      <c r="U1403" s="1">
        <v>94</v>
      </c>
      <c r="V1403" s="5">
        <v>43848</v>
      </c>
      <c r="W1403" s="5">
        <v>43620</v>
      </c>
      <c r="X1403" s="1">
        <v>1650000</v>
      </c>
      <c r="Y1403" s="1">
        <v>1650000</v>
      </c>
      <c r="Z1403" s="5">
        <v>43715</v>
      </c>
      <c r="AA1403" s="1">
        <v>1650000</v>
      </c>
      <c r="AB1403" s="1" t="s">
        <v>1210</v>
      </c>
      <c r="AC1403" s="5">
        <v>43847</v>
      </c>
      <c r="AF1403" s="1">
        <v>10026</v>
      </c>
      <c r="AI1403" s="1" t="s">
        <v>107</v>
      </c>
      <c r="AJ1403" s="1">
        <v>2019</v>
      </c>
      <c r="AK1403" s="1" t="s">
        <v>64</v>
      </c>
      <c r="AL1403" s="1">
        <v>29</v>
      </c>
    </row>
    <row r="1404" spans="1:38" x14ac:dyDescent="0.2">
      <c r="A1404" s="2" t="str">
        <f>HYPERLINK("https://www.compass.com/listing/10-lenox-avenue-unit-6c-manhattan-ny-10026/335491696569130481/","10 Lenox Ave, Unit 6C")</f>
        <v>10 Lenox Ave, Unit 6C</v>
      </c>
      <c r="B1404" s="2" t="str">
        <f t="shared" si="210"/>
        <v>10 Lenox</v>
      </c>
      <c r="C1404" s="1" t="s">
        <v>60</v>
      </c>
      <c r="D1404" s="1" t="s">
        <v>41</v>
      </c>
      <c r="E1404" s="3">
        <v>1700000</v>
      </c>
      <c r="F1404" s="1">
        <v>1454.2343883661199</v>
      </c>
      <c r="G1404" s="1">
        <v>4</v>
      </c>
      <c r="H1404" s="1">
        <v>2</v>
      </c>
      <c r="I1404" s="1">
        <v>2</v>
      </c>
      <c r="J1404" s="1">
        <v>2</v>
      </c>
      <c r="K1404" s="1">
        <v>2</v>
      </c>
      <c r="M1404" s="4">
        <v>1169</v>
      </c>
      <c r="N1404" s="1">
        <v>1053</v>
      </c>
      <c r="O1404" s="1">
        <v>1754</v>
      </c>
      <c r="P1404" s="1">
        <v>701</v>
      </c>
      <c r="Q1404" s="1" t="s">
        <v>42</v>
      </c>
      <c r="S1404" s="1" t="s">
        <v>42</v>
      </c>
      <c r="T1404" s="1" t="s">
        <v>153</v>
      </c>
      <c r="U1404" s="1">
        <v>122</v>
      </c>
      <c r="V1404" s="5">
        <v>43885</v>
      </c>
      <c r="W1404" s="5">
        <v>43716</v>
      </c>
      <c r="X1404" s="1">
        <v>1700000</v>
      </c>
      <c r="Y1404" s="1">
        <v>1700000</v>
      </c>
      <c r="Z1404" s="5">
        <v>43838</v>
      </c>
      <c r="AA1404" s="1">
        <v>1700000</v>
      </c>
      <c r="AB1404" s="1" t="s">
        <v>1211</v>
      </c>
      <c r="AC1404" s="5">
        <v>43875</v>
      </c>
      <c r="AF1404" s="1">
        <v>10026</v>
      </c>
      <c r="AI1404" s="1" t="s">
        <v>107</v>
      </c>
      <c r="AJ1404" s="1">
        <v>2019</v>
      </c>
      <c r="AK1404" s="1" t="s">
        <v>64</v>
      </c>
      <c r="AL1404" s="1">
        <v>29</v>
      </c>
    </row>
    <row r="1405" spans="1:38" x14ac:dyDescent="0.2">
      <c r="A1405" s="2" t="str">
        <f>HYPERLINK("https://www.compass.com/listing/424-west-52nd-street-unit-3-manhattan-ny-10019/547805747953138809/","424 W 52nd St, Unit 3")</f>
        <v>424 W 52nd St, Unit 3</v>
      </c>
      <c r="B1405" s="2" t="str">
        <f>HYPERLINK("https://www.compass.com/building/424-w-52nd-st-manhattan-ny-10019/293533825726707925/","424 W 52nd St")</f>
        <v>424 W 52nd St</v>
      </c>
      <c r="C1405" s="1" t="s">
        <v>67</v>
      </c>
      <c r="D1405" s="1" t="s">
        <v>41</v>
      </c>
      <c r="E1405" s="3">
        <v>1999000</v>
      </c>
      <c r="F1405" s="1">
        <v>1514.3939393939299</v>
      </c>
      <c r="G1405" s="1">
        <v>4</v>
      </c>
      <c r="H1405" s="1">
        <v>2</v>
      </c>
      <c r="I1405" s="1">
        <v>2</v>
      </c>
      <c r="J1405" s="1">
        <v>2</v>
      </c>
      <c r="K1405" s="1">
        <v>2</v>
      </c>
      <c r="M1405" s="4">
        <v>1320</v>
      </c>
      <c r="N1405" s="1">
        <v>500</v>
      </c>
      <c r="O1405" s="1">
        <v>2096</v>
      </c>
      <c r="P1405" s="1">
        <v>1596</v>
      </c>
      <c r="Q1405" s="1" t="s">
        <v>42</v>
      </c>
      <c r="S1405" s="1" t="s">
        <v>42</v>
      </c>
      <c r="T1405" s="1" t="s">
        <v>153</v>
      </c>
      <c r="V1405" s="5">
        <v>44378</v>
      </c>
      <c r="W1405" s="5">
        <v>44006</v>
      </c>
      <c r="X1405" s="1">
        <v>2195000</v>
      </c>
      <c r="AB1405" s="1" t="s">
        <v>177</v>
      </c>
      <c r="AF1405" s="1">
        <v>10019</v>
      </c>
      <c r="AI1405" s="1" t="s">
        <v>1212</v>
      </c>
      <c r="AJ1405" s="1">
        <v>1998</v>
      </c>
      <c r="AK1405" s="1" t="s">
        <v>124</v>
      </c>
      <c r="AL1405" s="1">
        <v>2</v>
      </c>
    </row>
    <row r="1406" spans="1:38" x14ac:dyDescent="0.2">
      <c r="A1406" s="2" t="str">
        <f>HYPERLINK("https://www.compass.com/listing/10-lenox-avenue-unit-6d-manhattan-ny-10026/284709346166728737/","10 Lenox Ave, Unit 6D")</f>
        <v>10 Lenox Ave, Unit 6D</v>
      </c>
      <c r="B1406" s="2" t="str">
        <f t="shared" ref="B1406:B1411" si="211">HYPERLINK("https://www.compass.com/building/10-lenox-manhattan-ny/455664456039547173/","10 Lenox")</f>
        <v>10 Lenox</v>
      </c>
      <c r="C1406" s="1" t="s">
        <v>60</v>
      </c>
      <c r="D1406" s="1" t="s">
        <v>41</v>
      </c>
      <c r="E1406" s="3">
        <v>1050000</v>
      </c>
      <c r="F1406" s="1">
        <v>1671.9745222929901</v>
      </c>
      <c r="G1406" s="1">
        <v>3</v>
      </c>
      <c r="H1406" s="1">
        <v>1</v>
      </c>
      <c r="I1406" s="1">
        <v>1</v>
      </c>
      <c r="J1406" s="1">
        <v>1</v>
      </c>
      <c r="K1406" s="1">
        <v>1</v>
      </c>
      <c r="M1406" s="1">
        <v>628</v>
      </c>
      <c r="N1406" s="1">
        <v>566</v>
      </c>
      <c r="O1406" s="1">
        <v>1267</v>
      </c>
      <c r="P1406" s="1">
        <v>701</v>
      </c>
      <c r="Q1406" s="1" t="s">
        <v>42</v>
      </c>
      <c r="S1406" s="1" t="s">
        <v>42</v>
      </c>
      <c r="T1406" s="1" t="s">
        <v>153</v>
      </c>
      <c r="V1406" s="5">
        <v>43846</v>
      </c>
      <c r="AA1406" s="1">
        <v>1050000</v>
      </c>
      <c r="AB1406" s="1" t="s">
        <v>177</v>
      </c>
      <c r="AC1406" s="5">
        <v>43480</v>
      </c>
      <c r="AF1406" s="1">
        <v>10026</v>
      </c>
      <c r="AI1406" s="1" t="s">
        <v>107</v>
      </c>
      <c r="AJ1406" s="1">
        <v>2019</v>
      </c>
      <c r="AK1406" s="1" t="s">
        <v>64</v>
      </c>
      <c r="AL1406" s="1">
        <v>29</v>
      </c>
    </row>
    <row r="1407" spans="1:38" x14ac:dyDescent="0.2">
      <c r="A1407" s="2" t="str">
        <f>HYPERLINK("https://www.compass.com/listing/10-lenox-avenue-unit-6d-manhattan-ny-10026/430360410395804673/","10 Lenox Ave, Unit 6D")</f>
        <v>10 Lenox Ave, Unit 6D</v>
      </c>
      <c r="B1407" s="2" t="str">
        <f t="shared" si="211"/>
        <v>10 Lenox</v>
      </c>
      <c r="C1407" s="1" t="s">
        <v>60</v>
      </c>
      <c r="D1407" s="1" t="s">
        <v>41</v>
      </c>
      <c r="E1407" s="3">
        <v>1050000</v>
      </c>
      <c r="F1407" s="1">
        <v>1671.9745222929901</v>
      </c>
      <c r="G1407" s="1">
        <v>3</v>
      </c>
      <c r="H1407" s="1">
        <v>1</v>
      </c>
      <c r="J1407" s="1">
        <v>1</v>
      </c>
      <c r="M1407" s="1">
        <v>628</v>
      </c>
      <c r="N1407" s="1">
        <v>565.95000000000005</v>
      </c>
      <c r="O1407" s="1">
        <v>1267.4000000000001</v>
      </c>
      <c r="P1407" s="1">
        <v>701.41666666666595</v>
      </c>
      <c r="Q1407" s="1" t="s">
        <v>42</v>
      </c>
      <c r="S1407" s="1" t="s">
        <v>42</v>
      </c>
      <c r="T1407" s="1" t="s">
        <v>153</v>
      </c>
      <c r="V1407" s="5">
        <v>44248</v>
      </c>
      <c r="W1407" s="5">
        <v>43644</v>
      </c>
      <c r="X1407" s="1">
        <v>1050000</v>
      </c>
      <c r="Y1407" s="1">
        <v>1050000</v>
      </c>
      <c r="Z1407" s="5">
        <v>43644</v>
      </c>
      <c r="AA1407" s="1">
        <v>1050000</v>
      </c>
      <c r="AB1407" s="1" t="s">
        <v>1213</v>
      </c>
      <c r="AC1407" s="5">
        <v>43844</v>
      </c>
      <c r="AF1407" s="1">
        <v>10026</v>
      </c>
      <c r="AI1407" s="1" t="s">
        <v>107</v>
      </c>
      <c r="AJ1407" s="1">
        <v>2019</v>
      </c>
      <c r="AK1407" s="1" t="s">
        <v>64</v>
      </c>
      <c r="AL1407" s="1">
        <v>29</v>
      </c>
    </row>
    <row r="1408" spans="1:38" x14ac:dyDescent="0.2">
      <c r="A1408" s="2" t="str">
        <f>HYPERLINK("https://www.compass.com/listing/10-lenox-avenue-unit-4c-manhattan-ny-10026/305046682622165313/","10 Lenox Ave, Unit 4C")</f>
        <v>10 Lenox Ave, Unit 4C</v>
      </c>
      <c r="B1408" s="2" t="str">
        <f t="shared" si="211"/>
        <v>10 Lenox</v>
      </c>
      <c r="C1408" s="1" t="s">
        <v>60</v>
      </c>
      <c r="D1408" s="1" t="s">
        <v>41</v>
      </c>
      <c r="E1408" s="3">
        <v>1600000</v>
      </c>
      <c r="F1408" s="1">
        <v>1368.69118905047</v>
      </c>
      <c r="G1408" s="1">
        <v>4</v>
      </c>
      <c r="H1408" s="1">
        <v>2</v>
      </c>
      <c r="I1408" s="1">
        <v>2</v>
      </c>
      <c r="J1408" s="1">
        <v>2</v>
      </c>
      <c r="K1408" s="1">
        <v>2</v>
      </c>
      <c r="M1408" s="4">
        <v>1169</v>
      </c>
      <c r="N1408" s="1">
        <v>1053</v>
      </c>
      <c r="O1408" s="1">
        <v>1754</v>
      </c>
      <c r="P1408" s="1">
        <v>701</v>
      </c>
      <c r="Q1408" s="1" t="s">
        <v>42</v>
      </c>
      <c r="S1408" s="1" t="s">
        <v>42</v>
      </c>
      <c r="T1408" s="1" t="s">
        <v>153</v>
      </c>
      <c r="U1408" s="1">
        <v>144</v>
      </c>
      <c r="V1408" s="5">
        <v>43853</v>
      </c>
      <c r="W1408" s="5">
        <v>43528</v>
      </c>
      <c r="X1408" s="1">
        <v>1600000</v>
      </c>
      <c r="Y1408" s="1">
        <v>1600000</v>
      </c>
      <c r="Z1408" s="5">
        <v>43673</v>
      </c>
      <c r="AA1408" s="1">
        <v>1600000</v>
      </c>
      <c r="AB1408" s="1" t="s">
        <v>1214</v>
      </c>
      <c r="AC1408" s="5">
        <v>43847</v>
      </c>
      <c r="AF1408" s="1">
        <v>10026</v>
      </c>
      <c r="AI1408" s="1" t="s">
        <v>107</v>
      </c>
      <c r="AJ1408" s="1">
        <v>2019</v>
      </c>
      <c r="AK1408" s="1" t="s">
        <v>64</v>
      </c>
      <c r="AL1408" s="1">
        <v>29</v>
      </c>
    </row>
    <row r="1409" spans="1:38" x14ac:dyDescent="0.2">
      <c r="A1409" s="2" t="str">
        <f>HYPERLINK("https://www.compass.com/listing/10-lenox-avenue-unit-7c-manhattan-ny-10026/398406860164696545/","10 Lenox Ave, Unit 7C")</f>
        <v>10 Lenox Ave, Unit 7C</v>
      </c>
      <c r="B1409" s="2" t="str">
        <f t="shared" si="211"/>
        <v>10 Lenox</v>
      </c>
      <c r="C1409" s="1" t="s">
        <v>60</v>
      </c>
      <c r="D1409" s="1" t="s">
        <v>41</v>
      </c>
      <c r="E1409" s="3">
        <v>1950000</v>
      </c>
      <c r="F1409" s="1">
        <v>1504.62962962962</v>
      </c>
      <c r="G1409" s="1">
        <v>4</v>
      </c>
      <c r="H1409" s="1">
        <v>2</v>
      </c>
      <c r="I1409" s="1">
        <v>2</v>
      </c>
      <c r="J1409" s="1">
        <v>2</v>
      </c>
      <c r="K1409" s="1">
        <v>2</v>
      </c>
      <c r="M1409" s="4">
        <v>1296</v>
      </c>
      <c r="N1409" s="1">
        <v>1168</v>
      </c>
      <c r="O1409" s="1">
        <v>1946</v>
      </c>
      <c r="P1409" s="1">
        <v>778</v>
      </c>
      <c r="Q1409" s="1" t="s">
        <v>42</v>
      </c>
      <c r="S1409" s="1" t="s">
        <v>42</v>
      </c>
      <c r="T1409" s="1" t="s">
        <v>153</v>
      </c>
      <c r="U1409" s="1">
        <v>273</v>
      </c>
      <c r="V1409" s="5">
        <v>43841</v>
      </c>
      <c r="W1409" s="5">
        <v>43528</v>
      </c>
      <c r="X1409" s="1">
        <v>1950000</v>
      </c>
      <c r="Y1409" s="1">
        <v>1950000</v>
      </c>
      <c r="Z1409" s="5">
        <v>43802</v>
      </c>
      <c r="AA1409" s="1">
        <v>1950000</v>
      </c>
      <c r="AB1409" s="1" t="s">
        <v>1215</v>
      </c>
      <c r="AC1409" s="5">
        <v>43840</v>
      </c>
      <c r="AF1409" s="1">
        <v>10026</v>
      </c>
      <c r="AI1409" s="1" t="s">
        <v>107</v>
      </c>
      <c r="AJ1409" s="1">
        <v>2019</v>
      </c>
      <c r="AK1409" s="1" t="s">
        <v>64</v>
      </c>
      <c r="AL1409" s="1">
        <v>29</v>
      </c>
    </row>
    <row r="1410" spans="1:38" x14ac:dyDescent="0.2">
      <c r="A1410" s="2" t="str">
        <f>HYPERLINK("https://www.compass.com/listing/10-lenox-avenue-unit-4e-manhattan-ny-10026/571726104980203353/","10 Lenox Ave, Unit 4E")</f>
        <v>10 Lenox Ave, Unit 4E</v>
      </c>
      <c r="B1410" s="2" t="str">
        <f t="shared" si="211"/>
        <v>10 Lenox</v>
      </c>
      <c r="C1410" s="1" t="s">
        <v>60</v>
      </c>
      <c r="D1410" s="1" t="s">
        <v>41</v>
      </c>
      <c r="E1410" s="3">
        <v>1501919</v>
      </c>
      <c r="F1410" s="1">
        <v>1218.10117599351</v>
      </c>
      <c r="G1410" s="1">
        <v>4</v>
      </c>
      <c r="H1410" s="1">
        <v>2</v>
      </c>
      <c r="I1410" s="1">
        <v>2</v>
      </c>
      <c r="J1410" s="1">
        <v>2</v>
      </c>
      <c r="K1410" s="1">
        <v>2</v>
      </c>
      <c r="M1410" s="4">
        <v>1233</v>
      </c>
      <c r="N1410" s="1">
        <v>1113</v>
      </c>
      <c r="O1410" s="1">
        <v>2993</v>
      </c>
      <c r="P1410" s="1">
        <v>1880</v>
      </c>
      <c r="Q1410" s="1" t="s">
        <v>42</v>
      </c>
      <c r="S1410" s="1" t="s">
        <v>42</v>
      </c>
      <c r="T1410" s="1" t="s">
        <v>153</v>
      </c>
      <c r="U1410" s="1">
        <v>323</v>
      </c>
      <c r="V1410" s="5">
        <v>44379</v>
      </c>
      <c r="W1410" s="5">
        <v>44040</v>
      </c>
      <c r="X1410" s="1">
        <v>1600000</v>
      </c>
      <c r="Y1410" s="1">
        <v>1395000</v>
      </c>
      <c r="Z1410" s="5">
        <v>44364</v>
      </c>
      <c r="AA1410" s="1">
        <v>1501918.75</v>
      </c>
      <c r="AB1410" s="1" t="s">
        <v>1216</v>
      </c>
      <c r="AC1410" s="5">
        <v>44377</v>
      </c>
      <c r="AF1410" s="1">
        <v>10026</v>
      </c>
      <c r="AI1410" s="1" t="s">
        <v>107</v>
      </c>
      <c r="AJ1410" s="1">
        <v>2019</v>
      </c>
      <c r="AK1410" s="1" t="s">
        <v>64</v>
      </c>
      <c r="AL1410" s="1">
        <v>29</v>
      </c>
    </row>
    <row r="1411" spans="1:38" x14ac:dyDescent="0.2">
      <c r="A1411" s="2" t="str">
        <f>HYPERLINK("https://www.compass.com/listing/10-lenox-avenue-unit-6b-manhattan-ny-10026/242598312421632929/","10 Lenox Ave, Unit 6B")</f>
        <v>10 Lenox Ave, Unit 6B</v>
      </c>
      <c r="B1411" s="2" t="str">
        <f t="shared" si="211"/>
        <v>10 Lenox</v>
      </c>
      <c r="C1411" s="1" t="s">
        <v>60</v>
      </c>
      <c r="D1411" s="1" t="s">
        <v>41</v>
      </c>
      <c r="E1411" s="3">
        <v>656771</v>
      </c>
      <c r="F1411" s="1">
        <v>1459.49166666666</v>
      </c>
      <c r="G1411" s="1">
        <v>2</v>
      </c>
      <c r="H1411" s="1" t="s">
        <v>94</v>
      </c>
      <c r="I1411" s="1">
        <v>1</v>
      </c>
      <c r="J1411" s="1">
        <v>1</v>
      </c>
      <c r="K1411" s="1">
        <v>1</v>
      </c>
      <c r="M1411" s="1">
        <v>450</v>
      </c>
      <c r="N1411" s="1">
        <v>406</v>
      </c>
      <c r="O1411" s="1">
        <v>676</v>
      </c>
      <c r="P1411" s="1">
        <v>270</v>
      </c>
      <c r="Q1411" s="1" t="s">
        <v>42</v>
      </c>
      <c r="S1411" s="1" t="s">
        <v>42</v>
      </c>
      <c r="T1411" s="1" t="s">
        <v>153</v>
      </c>
      <c r="U1411" s="1">
        <v>92</v>
      </c>
      <c r="V1411" s="5">
        <v>43838</v>
      </c>
      <c r="W1411" s="5">
        <v>43528</v>
      </c>
      <c r="X1411" s="1">
        <v>645000</v>
      </c>
      <c r="Y1411" s="1">
        <v>645000</v>
      </c>
      <c r="Z1411" s="5">
        <v>43621</v>
      </c>
      <c r="AA1411" s="1">
        <v>656771.25</v>
      </c>
      <c r="AB1411" s="1" t="s">
        <v>1217</v>
      </c>
      <c r="AC1411" s="5">
        <v>43830</v>
      </c>
      <c r="AF1411" s="1">
        <v>10026</v>
      </c>
      <c r="AI1411" s="1" t="s">
        <v>1218</v>
      </c>
      <c r="AJ1411" s="1">
        <v>2019</v>
      </c>
      <c r="AK1411" s="1" t="s">
        <v>64</v>
      </c>
      <c r="AL1411" s="1">
        <v>29</v>
      </c>
    </row>
    <row r="1412" spans="1:38" x14ac:dyDescent="0.2">
      <c r="A1412" s="2" t="str">
        <f>HYPERLINK("https://www.compass.com/listing/425-west-50th-street-unit-phd-manhattan-ny-10019/29513500082696161/","425 W 50th St, Unit PHD")</f>
        <v>425 W 50th St, Unit PHD</v>
      </c>
      <c r="B1412" s="2" t="str">
        <f>HYPERLINK("https://www.compass.com/building/stella-tower-manhattan-ny/281945855710262181/","Stella Tower")</f>
        <v>Stella Tower</v>
      </c>
      <c r="C1412" s="1" t="s">
        <v>67</v>
      </c>
      <c r="D1412" s="1" t="s">
        <v>41</v>
      </c>
      <c r="E1412" s="3">
        <v>7250000</v>
      </c>
      <c r="F1412" s="1">
        <v>2098.4081041968102</v>
      </c>
      <c r="G1412" s="1">
        <v>6</v>
      </c>
      <c r="H1412" s="1">
        <v>4</v>
      </c>
      <c r="I1412" s="1">
        <v>4</v>
      </c>
      <c r="J1412" s="1">
        <v>3.5</v>
      </c>
      <c r="K1412" s="1">
        <v>3</v>
      </c>
      <c r="L1412" s="1">
        <v>1</v>
      </c>
      <c r="M1412" s="4">
        <v>3455</v>
      </c>
      <c r="N1412" s="1">
        <v>4616</v>
      </c>
      <c r="O1412" s="1">
        <v>10254</v>
      </c>
      <c r="P1412" s="1">
        <v>5638</v>
      </c>
      <c r="Q1412" s="1" t="s">
        <v>42</v>
      </c>
      <c r="S1412" s="1" t="s">
        <v>42</v>
      </c>
      <c r="T1412" s="1" t="s">
        <v>153</v>
      </c>
      <c r="U1412" s="1">
        <v>624</v>
      </c>
      <c r="V1412" s="5">
        <v>44064</v>
      </c>
      <c r="W1412" s="5">
        <v>43102</v>
      </c>
      <c r="X1412" s="1">
        <v>11995000</v>
      </c>
      <c r="Y1412" s="1">
        <v>7995000</v>
      </c>
      <c r="Z1412" s="5">
        <v>43733</v>
      </c>
      <c r="AA1412" s="1">
        <v>7250000</v>
      </c>
      <c r="AB1412" s="1" t="s">
        <v>1219</v>
      </c>
      <c r="AC1412" s="5">
        <v>43784</v>
      </c>
      <c r="AF1412" s="1">
        <v>10019</v>
      </c>
      <c r="AI1412" s="1" t="s">
        <v>233</v>
      </c>
      <c r="AJ1412" s="1">
        <v>1930</v>
      </c>
      <c r="AK1412" s="1" t="s">
        <v>46</v>
      </c>
      <c r="AL1412" s="1">
        <v>51</v>
      </c>
    </row>
    <row r="1413" spans="1:38" x14ac:dyDescent="0.2">
      <c r="A1413" s="2" t="str">
        <f>HYPERLINK("https://www.compass.com/listing/10-lenox-avenue-unit-5b-manhattan-ny-10026/215714442967592977/","10 Lenox Ave, Unit 5B")</f>
        <v>10 Lenox Ave, Unit 5B</v>
      </c>
      <c r="B1413" s="2" t="str">
        <f>HYPERLINK("https://www.compass.com/building/10-lenox-manhattan-ny/455664456039547173/","10 Lenox")</f>
        <v>10 Lenox</v>
      </c>
      <c r="C1413" s="1" t="s">
        <v>60</v>
      </c>
      <c r="D1413" s="1" t="s">
        <v>41</v>
      </c>
      <c r="E1413" s="3">
        <v>633098</v>
      </c>
      <c r="F1413" s="1">
        <v>1406.88333333333</v>
      </c>
      <c r="G1413" s="1">
        <v>2</v>
      </c>
      <c r="H1413" s="1" t="s">
        <v>94</v>
      </c>
      <c r="I1413" s="1">
        <v>1</v>
      </c>
      <c r="J1413" s="1">
        <v>1</v>
      </c>
      <c r="K1413" s="1">
        <v>1</v>
      </c>
      <c r="M1413" s="1">
        <v>450</v>
      </c>
      <c r="N1413" s="1">
        <v>406</v>
      </c>
      <c r="O1413" s="1">
        <v>1092</v>
      </c>
      <c r="P1413" s="1">
        <v>686</v>
      </c>
      <c r="Q1413" s="1" t="s">
        <v>42</v>
      </c>
      <c r="S1413" s="1" t="s">
        <v>42</v>
      </c>
      <c r="T1413" s="1" t="s">
        <v>153</v>
      </c>
      <c r="U1413" s="1">
        <v>53</v>
      </c>
      <c r="V1413" s="5">
        <v>44209</v>
      </c>
      <c r="W1413" s="5">
        <v>43549</v>
      </c>
      <c r="X1413" s="1">
        <v>610000</v>
      </c>
      <c r="Y1413" s="1">
        <v>630000</v>
      </c>
      <c r="Z1413" s="5">
        <v>43602</v>
      </c>
      <c r="AA1413" s="1">
        <v>633097.5</v>
      </c>
      <c r="AB1413" s="1" t="s">
        <v>1220</v>
      </c>
      <c r="AC1413" s="5">
        <v>43843</v>
      </c>
      <c r="AF1413" s="1">
        <v>10026</v>
      </c>
      <c r="AI1413" s="1" t="s">
        <v>207</v>
      </c>
      <c r="AJ1413" s="1">
        <v>2019</v>
      </c>
      <c r="AK1413" s="1" t="s">
        <v>64</v>
      </c>
      <c r="AL1413" s="1">
        <v>29</v>
      </c>
    </row>
    <row r="1414" spans="1:38" x14ac:dyDescent="0.2">
      <c r="A1414" s="2" t="str">
        <f>HYPERLINK("https://www.compass.com/listing/432-west-52nd-street-unit-5f-manhattan-ny-10019/380717853528432113/","432 W 52nd St, Unit 5F")</f>
        <v>432 W 52nd St, Unit 5F</v>
      </c>
      <c r="B1414" s="2" t="str">
        <f>HYPERLINK("https://www.compass.com/building/432-w-52nd-st-manhattan-ny-10019/292847238378489941/","432 W 52nd St")</f>
        <v>432 W 52nd St</v>
      </c>
      <c r="C1414" s="1" t="s">
        <v>67</v>
      </c>
      <c r="D1414" s="1" t="s">
        <v>41</v>
      </c>
      <c r="E1414" s="3">
        <v>4100200</v>
      </c>
      <c r="F1414" s="1">
        <v>6003.2210834553398</v>
      </c>
      <c r="H1414" s="1">
        <v>1</v>
      </c>
      <c r="J1414" s="1">
        <v>1</v>
      </c>
      <c r="M1414" s="1">
        <v>683</v>
      </c>
      <c r="N1414" s="1">
        <v>847</v>
      </c>
      <c r="O1414" s="1">
        <v>1797</v>
      </c>
      <c r="P1414" s="1">
        <v>950</v>
      </c>
      <c r="Q1414" s="1" t="s">
        <v>42</v>
      </c>
      <c r="S1414" s="1" t="s">
        <v>42</v>
      </c>
      <c r="T1414" s="1" t="s">
        <v>153</v>
      </c>
      <c r="AA1414" s="1">
        <v>4100200</v>
      </c>
      <c r="AB1414" s="1" t="s">
        <v>1221</v>
      </c>
      <c r="AC1414" s="5">
        <v>42537</v>
      </c>
      <c r="AF1414" s="1">
        <v>10019</v>
      </c>
      <c r="AI1414" s="1" t="s">
        <v>55</v>
      </c>
      <c r="AJ1414" s="1">
        <v>1950</v>
      </c>
      <c r="AK1414" s="1" t="s">
        <v>121</v>
      </c>
      <c r="AL1414" s="1">
        <v>55</v>
      </c>
    </row>
    <row r="1415" spans="1:38" x14ac:dyDescent="0.2">
      <c r="A1415" s="2" t="str">
        <f>HYPERLINK("https://www.compass.com/listing/10-lenox-avenue-unit-7a-manhattan-ny-10026/267245836050669953/","10 Lenox Ave, Unit 7A")</f>
        <v>10 Lenox Ave, Unit 7A</v>
      </c>
      <c r="B1415" s="2" t="str">
        <f t="shared" ref="B1415:B1419" si="212">HYPERLINK("https://www.compass.com/building/10-lenox-manhattan-ny/455664456039547173/","10 Lenox")</f>
        <v>10 Lenox</v>
      </c>
      <c r="C1415" s="1" t="s">
        <v>60</v>
      </c>
      <c r="D1415" s="1" t="s">
        <v>41</v>
      </c>
      <c r="E1415" s="3">
        <v>962246</v>
      </c>
      <c r="F1415" s="1">
        <v>1309.17857142857</v>
      </c>
      <c r="G1415" s="1">
        <v>3</v>
      </c>
      <c r="H1415" s="1">
        <v>1</v>
      </c>
      <c r="I1415" s="1">
        <v>1</v>
      </c>
      <c r="J1415" s="1">
        <v>1</v>
      </c>
      <c r="K1415" s="1">
        <v>1</v>
      </c>
      <c r="M1415" s="1">
        <v>735</v>
      </c>
      <c r="N1415" s="1">
        <v>662</v>
      </c>
      <c r="O1415" s="1">
        <v>1103</v>
      </c>
      <c r="P1415" s="1">
        <v>441</v>
      </c>
      <c r="Q1415" s="1" t="s">
        <v>42</v>
      </c>
      <c r="S1415" s="1" t="s">
        <v>42</v>
      </c>
      <c r="T1415" s="1" t="s">
        <v>153</v>
      </c>
      <c r="U1415" s="1">
        <v>92</v>
      </c>
      <c r="V1415" s="5">
        <v>43841</v>
      </c>
      <c r="W1415" s="5">
        <v>43528</v>
      </c>
      <c r="X1415" s="1">
        <v>965000</v>
      </c>
      <c r="Y1415" s="1">
        <v>965000</v>
      </c>
      <c r="Z1415" s="5">
        <v>43621</v>
      </c>
      <c r="AA1415" s="1">
        <v>962246.25</v>
      </c>
      <c r="AB1415" s="1" t="s">
        <v>1222</v>
      </c>
      <c r="AC1415" s="5">
        <v>43840</v>
      </c>
      <c r="AF1415" s="1">
        <v>10026</v>
      </c>
      <c r="AI1415" s="1" t="s">
        <v>207</v>
      </c>
      <c r="AJ1415" s="1">
        <v>2019</v>
      </c>
      <c r="AK1415" s="1" t="s">
        <v>64</v>
      </c>
      <c r="AL1415" s="1">
        <v>29</v>
      </c>
    </row>
    <row r="1416" spans="1:38" x14ac:dyDescent="0.2">
      <c r="A1416" s="2" t="str">
        <f>HYPERLINK("https://www.compass.com/listing/10-lenox-avenue-unit-6a-manhattan-ny-10026/370294547426310529/","10 Lenox Ave, Unit 6A")</f>
        <v>10 Lenox Ave, Unit 6A</v>
      </c>
      <c r="B1416" s="2" t="str">
        <f t="shared" si="212"/>
        <v>10 Lenox</v>
      </c>
      <c r="C1416" s="1" t="s">
        <v>60</v>
      </c>
      <c r="D1416" s="1" t="s">
        <v>41</v>
      </c>
      <c r="E1416" s="3">
        <v>941881</v>
      </c>
      <c r="F1416" s="1">
        <v>1361.1000722543299</v>
      </c>
      <c r="G1416" s="1">
        <v>3</v>
      </c>
      <c r="H1416" s="1">
        <v>1</v>
      </c>
      <c r="I1416" s="1">
        <v>1</v>
      </c>
      <c r="J1416" s="1">
        <v>1</v>
      </c>
      <c r="K1416" s="1">
        <v>1</v>
      </c>
      <c r="M1416" s="1">
        <v>692</v>
      </c>
      <c r="N1416" s="1">
        <v>624</v>
      </c>
      <c r="O1416" s="1">
        <v>1041</v>
      </c>
      <c r="P1416" s="1">
        <v>417</v>
      </c>
      <c r="Q1416" s="1" t="s">
        <v>42</v>
      </c>
      <c r="S1416" s="1" t="s">
        <v>42</v>
      </c>
      <c r="T1416" s="1" t="s">
        <v>153</v>
      </c>
      <c r="U1416" s="1">
        <v>97</v>
      </c>
      <c r="V1416" s="5">
        <v>43903</v>
      </c>
      <c r="W1416" s="5">
        <v>43762</v>
      </c>
      <c r="X1416" s="1">
        <v>925000</v>
      </c>
      <c r="Y1416" s="1">
        <v>925000</v>
      </c>
      <c r="Z1416" s="5">
        <v>43860</v>
      </c>
      <c r="AA1416" s="1">
        <v>941881.25</v>
      </c>
      <c r="AB1416" s="1" t="s">
        <v>1223</v>
      </c>
      <c r="AC1416" s="5">
        <v>43901</v>
      </c>
      <c r="AF1416" s="1">
        <v>10026</v>
      </c>
      <c r="AI1416" s="1" t="s">
        <v>107</v>
      </c>
      <c r="AJ1416" s="1">
        <v>2019</v>
      </c>
      <c r="AK1416" s="1" t="s">
        <v>64</v>
      </c>
      <c r="AL1416" s="1">
        <v>29</v>
      </c>
    </row>
    <row r="1417" spans="1:38" x14ac:dyDescent="0.2">
      <c r="A1417" s="2" t="str">
        <f>HYPERLINK("https://www.compass.com/listing/10-lenox-avenue-unit-5d-manhattan-ny-10026/242597055044791873/","10 Lenox Ave, Unit 5D")</f>
        <v>10 Lenox Ave, Unit 5D</v>
      </c>
      <c r="B1417" s="2" t="str">
        <f t="shared" si="212"/>
        <v>10 Lenox</v>
      </c>
      <c r="C1417" s="1" t="s">
        <v>60</v>
      </c>
      <c r="D1417" s="1" t="s">
        <v>41</v>
      </c>
      <c r="E1417" s="3">
        <v>967338</v>
      </c>
      <c r="F1417" s="1">
        <v>1540.34633757961</v>
      </c>
      <c r="G1417" s="1">
        <v>3</v>
      </c>
      <c r="H1417" s="1">
        <v>1</v>
      </c>
      <c r="I1417" s="1">
        <v>1</v>
      </c>
      <c r="J1417" s="1">
        <v>1</v>
      </c>
      <c r="K1417" s="1">
        <v>1</v>
      </c>
      <c r="M1417" s="1">
        <v>628</v>
      </c>
      <c r="N1417" s="1">
        <v>566</v>
      </c>
      <c r="O1417" s="1">
        <v>1267</v>
      </c>
      <c r="P1417" s="1">
        <v>701</v>
      </c>
      <c r="Q1417" s="1" t="s">
        <v>42</v>
      </c>
      <c r="S1417" s="1" t="s">
        <v>42</v>
      </c>
      <c r="T1417" s="1" t="s">
        <v>153</v>
      </c>
      <c r="U1417" s="1">
        <v>116</v>
      </c>
      <c r="V1417" s="5">
        <v>43838</v>
      </c>
      <c r="W1417" s="5">
        <v>43528</v>
      </c>
      <c r="X1417" s="1">
        <v>995000</v>
      </c>
      <c r="Y1417" s="1">
        <v>995000</v>
      </c>
      <c r="Z1417" s="5">
        <v>43645</v>
      </c>
      <c r="AA1417" s="1">
        <v>967337.5</v>
      </c>
      <c r="AB1417" s="1" t="s">
        <v>1224</v>
      </c>
      <c r="AC1417" s="5">
        <v>43830</v>
      </c>
      <c r="AF1417" s="1">
        <v>10026</v>
      </c>
      <c r="AI1417" s="1" t="s">
        <v>1225</v>
      </c>
      <c r="AJ1417" s="1">
        <v>2019</v>
      </c>
      <c r="AK1417" s="1" t="s">
        <v>64</v>
      </c>
      <c r="AL1417" s="1">
        <v>29</v>
      </c>
    </row>
    <row r="1418" spans="1:38" x14ac:dyDescent="0.2">
      <c r="A1418" s="2" t="str">
        <f>HYPERLINK("https://www.compass.com/listing/10-lenox-avenue-unit-4d-manhattan-ny-10026/284698435062380817/","10 Lenox Ave, Unit 4D")</f>
        <v>10 Lenox Ave, Unit 4D</v>
      </c>
      <c r="B1418" s="2" t="str">
        <f t="shared" si="212"/>
        <v>10 Lenox</v>
      </c>
      <c r="C1418" s="1" t="s">
        <v>60</v>
      </c>
      <c r="D1418" s="1" t="s">
        <v>41</v>
      </c>
      <c r="E1418" s="3">
        <v>927225</v>
      </c>
      <c r="F1418" s="1">
        <v>1476.4729299363</v>
      </c>
      <c r="G1418" s="1">
        <v>3</v>
      </c>
      <c r="H1418" s="1">
        <v>1</v>
      </c>
      <c r="I1418" s="1">
        <v>1</v>
      </c>
      <c r="J1418" s="1">
        <v>1</v>
      </c>
      <c r="K1418" s="1">
        <v>1</v>
      </c>
      <c r="M1418" s="1">
        <v>628</v>
      </c>
      <c r="N1418" s="1">
        <v>567</v>
      </c>
      <c r="O1418" s="1">
        <v>1525</v>
      </c>
      <c r="P1418" s="1">
        <v>958</v>
      </c>
      <c r="Q1418" s="1" t="s">
        <v>42</v>
      </c>
      <c r="S1418" s="1" t="s">
        <v>42</v>
      </c>
      <c r="T1418" s="1" t="s">
        <v>153</v>
      </c>
      <c r="U1418" s="1">
        <v>116</v>
      </c>
      <c r="V1418" s="5">
        <v>44209</v>
      </c>
      <c r="W1418" s="5">
        <v>43528</v>
      </c>
      <c r="X1418" s="1">
        <v>975000</v>
      </c>
      <c r="Y1418" s="1">
        <v>975000</v>
      </c>
      <c r="Z1418" s="5">
        <v>43645</v>
      </c>
      <c r="AA1418" s="1">
        <v>927225</v>
      </c>
      <c r="AB1418" s="1" t="s">
        <v>1226</v>
      </c>
      <c r="AC1418" s="5">
        <v>43843</v>
      </c>
      <c r="AF1418" s="1">
        <v>10026</v>
      </c>
      <c r="AI1418" s="1" t="s">
        <v>107</v>
      </c>
      <c r="AJ1418" s="1">
        <v>2019</v>
      </c>
      <c r="AK1418" s="1" t="s">
        <v>64</v>
      </c>
      <c r="AL1418" s="1">
        <v>29</v>
      </c>
    </row>
    <row r="1419" spans="1:38" x14ac:dyDescent="0.2">
      <c r="A1419" s="2" t="str">
        <f>HYPERLINK("https://www.compass.com/listing/10-lenox-avenue-unit-4f-manhattan-ny-10026/305046683016338433/","10 Lenox Ave, Unit 4F")</f>
        <v>10 Lenox Ave, Unit 4F</v>
      </c>
      <c r="B1419" s="2" t="str">
        <f t="shared" si="212"/>
        <v>10 Lenox</v>
      </c>
      <c r="C1419" s="1" t="s">
        <v>60</v>
      </c>
      <c r="D1419" s="1" t="s">
        <v>41</v>
      </c>
      <c r="E1419" s="3">
        <v>795000</v>
      </c>
      <c r="F1419" s="1">
        <v>1197.2891566265</v>
      </c>
      <c r="G1419" s="1">
        <v>3</v>
      </c>
      <c r="H1419" s="1">
        <v>1</v>
      </c>
      <c r="I1419" s="1">
        <v>1</v>
      </c>
      <c r="J1419" s="1">
        <v>1</v>
      </c>
      <c r="K1419" s="1">
        <v>1</v>
      </c>
      <c r="M1419" s="1">
        <v>664</v>
      </c>
      <c r="N1419" s="1">
        <v>599</v>
      </c>
      <c r="O1419" s="1">
        <v>1611</v>
      </c>
      <c r="P1419" s="1">
        <v>1012</v>
      </c>
      <c r="Q1419" s="1" t="s">
        <v>42</v>
      </c>
      <c r="S1419" s="1" t="s">
        <v>42</v>
      </c>
      <c r="T1419" s="1" t="s">
        <v>153</v>
      </c>
      <c r="U1419" s="1">
        <v>144</v>
      </c>
      <c r="V1419" s="5">
        <v>44209</v>
      </c>
      <c r="W1419" s="5">
        <v>43528</v>
      </c>
      <c r="X1419" s="1">
        <v>795000</v>
      </c>
      <c r="Y1419" s="1">
        <v>795000</v>
      </c>
      <c r="Z1419" s="5">
        <v>43673</v>
      </c>
      <c r="AA1419" s="1">
        <v>795000</v>
      </c>
      <c r="AB1419" s="1" t="s">
        <v>1227</v>
      </c>
      <c r="AC1419" s="5">
        <v>43859</v>
      </c>
      <c r="AF1419" s="1">
        <v>10026</v>
      </c>
      <c r="AI1419" s="1" t="s">
        <v>105</v>
      </c>
      <c r="AJ1419" s="1">
        <v>2019</v>
      </c>
      <c r="AK1419" s="1" t="s">
        <v>64</v>
      </c>
      <c r="AL1419" s="1">
        <v>29</v>
      </c>
    </row>
    <row r="1420" spans="1:38" x14ac:dyDescent="0.2">
      <c r="A1420" s="2" t="str">
        <f>HYPERLINK("https://www.compass.com/listing/57-west-127th-street-unit-5-manhattan-ny-10027/29428349889736401/","57 W 127th St, Unit 5")</f>
        <v>57 W 127th St, Unit 5</v>
      </c>
      <c r="B1420" s="2" t="str">
        <f>HYPERLINK("https://www.compass.com/building/san-giorgio-manhattan-ny/281983292037763781/","San Giorgio")</f>
        <v>San Giorgio</v>
      </c>
      <c r="C1420" s="1" t="s">
        <v>141</v>
      </c>
      <c r="D1420" s="1" t="s">
        <v>41</v>
      </c>
      <c r="E1420" s="3">
        <v>672045</v>
      </c>
      <c r="F1420" s="1">
        <v>982.52192982456097</v>
      </c>
      <c r="G1420" s="1">
        <v>3</v>
      </c>
      <c r="H1420" s="1">
        <v>1</v>
      </c>
      <c r="I1420" s="1">
        <v>1</v>
      </c>
      <c r="J1420" s="1">
        <v>1</v>
      </c>
      <c r="M1420" s="1">
        <v>684</v>
      </c>
      <c r="N1420" s="1">
        <v>463</v>
      </c>
      <c r="O1420" s="1">
        <v>463</v>
      </c>
      <c r="Q1420" s="1" t="s">
        <v>42</v>
      </c>
      <c r="S1420" s="1" t="s">
        <v>42</v>
      </c>
      <c r="T1420" s="1" t="s">
        <v>153</v>
      </c>
      <c r="V1420" s="5">
        <v>42879</v>
      </c>
      <c r="W1420" s="5">
        <v>42083</v>
      </c>
      <c r="X1420" s="1">
        <v>600000</v>
      </c>
      <c r="Y1420" s="1">
        <v>660000</v>
      </c>
      <c r="Z1420" s="5">
        <v>42084</v>
      </c>
      <c r="AA1420" s="1">
        <v>672045</v>
      </c>
      <c r="AB1420" s="1" t="s">
        <v>1228</v>
      </c>
      <c r="AC1420" s="5">
        <v>42310</v>
      </c>
      <c r="AF1420" s="1">
        <v>10027</v>
      </c>
      <c r="AI1420" s="1" t="s">
        <v>139</v>
      </c>
      <c r="AJ1420" s="1">
        <v>1899</v>
      </c>
      <c r="AL1420" s="1">
        <v>6</v>
      </c>
    </row>
    <row r="1421" spans="1:38" x14ac:dyDescent="0.2">
      <c r="A1421" s="2" t="str">
        <f>HYPERLINK("https://www.compass.com/listing/425-west-50th-street-unit-16d-manhattan-ny-10019/29389226705472241/","425 W 50th St, Unit 16D")</f>
        <v>425 W 50th St, Unit 16D</v>
      </c>
      <c r="B1421" s="2" t="str">
        <f t="shared" ref="B1421:B1423" si="213">HYPERLINK("https://www.compass.com/building/stella-tower-manhattan-ny/281945855710262181/","Stella Tower")</f>
        <v>Stella Tower</v>
      </c>
      <c r="C1421" s="1" t="s">
        <v>67</v>
      </c>
      <c r="D1421" s="1" t="s">
        <v>41</v>
      </c>
      <c r="E1421" s="3">
        <v>5600375</v>
      </c>
      <c r="F1421" s="1">
        <v>2587.97365988909</v>
      </c>
      <c r="G1421" s="1">
        <v>5</v>
      </c>
      <c r="H1421" s="1">
        <v>3</v>
      </c>
      <c r="I1421" s="1">
        <v>4</v>
      </c>
      <c r="J1421" s="1">
        <v>3.5</v>
      </c>
      <c r="M1421" s="4">
        <v>2164</v>
      </c>
      <c r="N1421" s="1">
        <v>2459</v>
      </c>
      <c r="O1421" s="1">
        <v>3965</v>
      </c>
      <c r="P1421" s="1">
        <v>1506</v>
      </c>
      <c r="Q1421" s="1" t="s">
        <v>42</v>
      </c>
      <c r="S1421" s="1" t="s">
        <v>42</v>
      </c>
      <c r="T1421" s="1" t="s">
        <v>153</v>
      </c>
      <c r="U1421" s="1">
        <v>62</v>
      </c>
      <c r="V1421" s="5">
        <v>43634</v>
      </c>
      <c r="W1421" s="5">
        <v>42277</v>
      </c>
      <c r="X1421" s="1">
        <v>5800000</v>
      </c>
      <c r="Y1421" s="1">
        <v>5800000</v>
      </c>
      <c r="Z1421" s="5">
        <v>42339</v>
      </c>
      <c r="AA1421" s="1">
        <v>5600375</v>
      </c>
      <c r="AB1421" s="1" t="s">
        <v>1186</v>
      </c>
      <c r="AC1421" s="5">
        <v>42355</v>
      </c>
      <c r="AF1421" s="1">
        <v>10019</v>
      </c>
      <c r="AI1421" s="1" t="s">
        <v>45</v>
      </c>
      <c r="AJ1421" s="1">
        <v>1930</v>
      </c>
      <c r="AK1421" s="1" t="s">
        <v>46</v>
      </c>
      <c r="AL1421" s="1">
        <v>51</v>
      </c>
    </row>
    <row r="1422" spans="1:38" x14ac:dyDescent="0.2">
      <c r="A1422" s="2" t="str">
        <f>HYPERLINK("https://www.compass.com/listing/425-west-50th-street-unit-15f-manhattan-ny-10019/29389223845014193/","425 W 50th St, Unit 15F")</f>
        <v>425 W 50th St, Unit 15F</v>
      </c>
      <c r="B1422" s="2" t="str">
        <f t="shared" si="213"/>
        <v>Stella Tower</v>
      </c>
      <c r="C1422" s="1" t="s">
        <v>67</v>
      </c>
      <c r="D1422" s="1" t="s">
        <v>41</v>
      </c>
      <c r="E1422" s="3">
        <v>5595284</v>
      </c>
      <c r="F1422" s="1">
        <v>2544.4673715325098</v>
      </c>
      <c r="G1422" s="1">
        <v>5</v>
      </c>
      <c r="H1422" s="1">
        <v>3</v>
      </c>
      <c r="I1422" s="1">
        <v>4</v>
      </c>
      <c r="J1422" s="1">
        <v>3.5</v>
      </c>
      <c r="M1422" s="4">
        <v>2199</v>
      </c>
      <c r="N1422" s="1">
        <v>2497</v>
      </c>
      <c r="O1422" s="1">
        <v>4026</v>
      </c>
      <c r="P1422" s="1">
        <v>1529</v>
      </c>
      <c r="Q1422" s="1" t="s">
        <v>42</v>
      </c>
      <c r="S1422" s="1" t="s">
        <v>42</v>
      </c>
      <c r="T1422" s="1" t="s">
        <v>153</v>
      </c>
      <c r="U1422" s="1">
        <v>452</v>
      </c>
      <c r="V1422" s="5">
        <v>42929</v>
      </c>
      <c r="W1422" s="5">
        <v>41800</v>
      </c>
      <c r="X1422" s="1">
        <v>5600000</v>
      </c>
      <c r="Y1422" s="1">
        <v>5750000</v>
      </c>
      <c r="AA1422" s="1">
        <v>5595283.75</v>
      </c>
      <c r="AB1422" s="1" t="s">
        <v>1171</v>
      </c>
      <c r="AC1422" s="5">
        <v>42327</v>
      </c>
      <c r="AF1422" s="1">
        <v>10019</v>
      </c>
      <c r="AI1422" s="1" t="s">
        <v>45</v>
      </c>
      <c r="AJ1422" s="1">
        <v>1930</v>
      </c>
      <c r="AK1422" s="1" t="s">
        <v>46</v>
      </c>
      <c r="AL1422" s="1">
        <v>51</v>
      </c>
    </row>
    <row r="1423" spans="1:38" x14ac:dyDescent="0.2">
      <c r="A1423" s="2" t="str">
        <f>HYPERLINK("https://www.compass.com/listing/425-west-50th-street-unit-15f-manhattan-ny-10019/29389223870180081/","425 W 50th St, Unit 15F")</f>
        <v>425 W 50th St, Unit 15F</v>
      </c>
      <c r="B1423" s="2" t="str">
        <f t="shared" si="213"/>
        <v>Stella Tower</v>
      </c>
      <c r="C1423" s="1" t="s">
        <v>67</v>
      </c>
      <c r="D1423" s="1" t="s">
        <v>41</v>
      </c>
      <c r="E1423" s="3">
        <v>4700000</v>
      </c>
      <c r="F1423" s="1">
        <v>2137.3351523419701</v>
      </c>
      <c r="G1423" s="1">
        <v>5</v>
      </c>
      <c r="H1423" s="1">
        <v>3</v>
      </c>
      <c r="I1423" s="1">
        <v>4</v>
      </c>
      <c r="J1423" s="1">
        <v>3.5</v>
      </c>
      <c r="M1423" s="4">
        <v>2199</v>
      </c>
      <c r="N1423" s="1">
        <v>2497</v>
      </c>
      <c r="O1423" s="1">
        <v>5307</v>
      </c>
      <c r="P1423" s="1">
        <v>2810</v>
      </c>
      <c r="Q1423" s="1" t="s">
        <v>42</v>
      </c>
      <c r="S1423" s="1" t="s">
        <v>42</v>
      </c>
      <c r="T1423" s="1" t="s">
        <v>153</v>
      </c>
      <c r="U1423" s="1">
        <v>339</v>
      </c>
      <c r="V1423" s="5">
        <v>43649</v>
      </c>
      <c r="W1423" s="5">
        <v>42739</v>
      </c>
      <c r="X1423" s="1">
        <v>5950000</v>
      </c>
      <c r="Y1423" s="1">
        <v>4995000</v>
      </c>
      <c r="Z1423" s="5">
        <v>43078</v>
      </c>
      <c r="AA1423" s="1">
        <v>4700000</v>
      </c>
      <c r="AB1423" s="1" t="s">
        <v>1193</v>
      </c>
      <c r="AC1423" s="5">
        <v>43111</v>
      </c>
      <c r="AF1423" s="1">
        <v>10019</v>
      </c>
      <c r="AI1423" s="1" t="s">
        <v>45</v>
      </c>
      <c r="AJ1423" s="1">
        <v>1930</v>
      </c>
      <c r="AK1423" s="1" t="s">
        <v>46</v>
      </c>
      <c r="AL1423" s="1">
        <v>51</v>
      </c>
    </row>
    <row r="1424" spans="1:38" x14ac:dyDescent="0.2">
      <c r="A1424" s="2" t="str">
        <f>HYPERLINK("https://www.compass.com/listing/10-lenox-avenue-unit-4b-manhattan-ny-10026/284698434659716913/","10 Lenox Ave, Unit 4B")</f>
        <v>10 Lenox Ave, Unit 4B</v>
      </c>
      <c r="B1424" s="2" t="str">
        <f>HYPERLINK("https://www.compass.com/building/10-lenox-manhattan-ny/455664456039547173/","10 Lenox")</f>
        <v>10 Lenox</v>
      </c>
      <c r="C1424" s="1" t="s">
        <v>60</v>
      </c>
      <c r="D1424" s="1" t="s">
        <v>41</v>
      </c>
      <c r="E1424" s="3">
        <v>605859</v>
      </c>
      <c r="F1424" s="1">
        <v>1346.3527777777699</v>
      </c>
      <c r="G1424" s="1">
        <v>2</v>
      </c>
      <c r="H1424" s="1" t="s">
        <v>94</v>
      </c>
      <c r="I1424" s="1">
        <v>1</v>
      </c>
      <c r="J1424" s="1">
        <v>1</v>
      </c>
      <c r="K1424" s="1">
        <v>1</v>
      </c>
      <c r="M1424" s="1">
        <v>450</v>
      </c>
      <c r="N1424" s="1">
        <v>406</v>
      </c>
      <c r="O1424" s="1">
        <v>676</v>
      </c>
      <c r="P1424" s="1">
        <v>270</v>
      </c>
      <c r="Q1424" s="1" t="s">
        <v>42</v>
      </c>
      <c r="S1424" s="1" t="s">
        <v>42</v>
      </c>
      <c r="T1424" s="1" t="s">
        <v>153</v>
      </c>
      <c r="U1424" s="1">
        <v>116</v>
      </c>
      <c r="V1424" s="5">
        <v>43865</v>
      </c>
      <c r="W1424" s="5">
        <v>43528</v>
      </c>
      <c r="X1424" s="1">
        <v>615000</v>
      </c>
      <c r="Y1424" s="1">
        <v>615000</v>
      </c>
      <c r="Z1424" s="5">
        <v>43645</v>
      </c>
      <c r="AA1424" s="1">
        <v>605858.75</v>
      </c>
      <c r="AB1424" s="1" t="s">
        <v>1229</v>
      </c>
      <c r="AC1424" s="5">
        <v>43861</v>
      </c>
      <c r="AF1424" s="1">
        <v>10026</v>
      </c>
      <c r="AI1424" s="1" t="s">
        <v>107</v>
      </c>
      <c r="AJ1424" s="1">
        <v>2019</v>
      </c>
      <c r="AK1424" s="1" t="s">
        <v>64</v>
      </c>
      <c r="AL1424" s="1">
        <v>29</v>
      </c>
    </row>
    <row r="1425" spans="1:38" x14ac:dyDescent="0.2">
      <c r="A1425" s="2" t="str">
        <f>HYPERLINK("https://www.compass.com/listing/425-west-50th-street-unit-pha-manhattan-ny-10019/29389227552789153/","425 W 50th St, Unit PHA")</f>
        <v>425 W 50th St, Unit PHA</v>
      </c>
      <c r="B1425" s="2" t="str">
        <f t="shared" ref="B1425:B1428" si="214">HYPERLINK("https://www.compass.com/building/stella-tower-manhattan-ny/281945855710262181/","Stella Tower")</f>
        <v>Stella Tower</v>
      </c>
      <c r="C1425" s="1" t="s">
        <v>67</v>
      </c>
      <c r="D1425" s="1" t="s">
        <v>41</v>
      </c>
      <c r="E1425" s="3">
        <v>10185500</v>
      </c>
      <c r="F1425" s="1">
        <v>2832.4527252502699</v>
      </c>
      <c r="G1425" s="1">
        <v>6</v>
      </c>
      <c r="H1425" s="1">
        <v>3</v>
      </c>
      <c r="I1425" s="1">
        <v>4</v>
      </c>
      <c r="J1425" s="1">
        <v>3.5</v>
      </c>
      <c r="M1425" s="4">
        <v>3596</v>
      </c>
      <c r="N1425" s="1">
        <v>4358</v>
      </c>
      <c r="O1425" s="1">
        <v>8791</v>
      </c>
      <c r="P1425" s="1">
        <v>4433</v>
      </c>
      <c r="Q1425" s="1" t="s">
        <v>42</v>
      </c>
      <c r="S1425" s="1" t="s">
        <v>42</v>
      </c>
      <c r="T1425" s="1" t="s">
        <v>153</v>
      </c>
      <c r="U1425" s="1">
        <v>310</v>
      </c>
      <c r="V1425" s="5">
        <v>43682</v>
      </c>
      <c r="W1425" s="5">
        <v>42445</v>
      </c>
      <c r="X1425" s="1">
        <v>12995000</v>
      </c>
      <c r="Y1425" s="1">
        <v>11495000</v>
      </c>
      <c r="Z1425" s="5">
        <v>42755</v>
      </c>
      <c r="AA1425" s="1">
        <v>10185500</v>
      </c>
      <c r="AB1425" s="1" t="s">
        <v>1194</v>
      </c>
      <c r="AC1425" s="5">
        <v>42793</v>
      </c>
      <c r="AF1425" s="1">
        <v>10019</v>
      </c>
      <c r="AI1425" s="1" t="s">
        <v>158</v>
      </c>
      <c r="AJ1425" s="1">
        <v>1930</v>
      </c>
      <c r="AK1425" s="1" t="s">
        <v>49</v>
      </c>
      <c r="AL1425" s="1">
        <v>51</v>
      </c>
    </row>
    <row r="1426" spans="1:38" x14ac:dyDescent="0.2">
      <c r="A1426" s="2" t="str">
        <f>HYPERLINK("https://www.compass.com/listing/425-west-50th-street-unit-phb-manhattan-ny-10019/29389228156701489/","425 W 50th St, Unit PHB")</f>
        <v>425 W 50th St, Unit PHB</v>
      </c>
      <c r="B1426" s="2" t="str">
        <f t="shared" si="214"/>
        <v>Stella Tower</v>
      </c>
      <c r="C1426" s="1" t="s">
        <v>67</v>
      </c>
      <c r="D1426" s="1" t="s">
        <v>41</v>
      </c>
      <c r="E1426" s="3">
        <v>6723450</v>
      </c>
      <c r="F1426" s="1">
        <v>2501.2834821428501</v>
      </c>
      <c r="G1426" s="1">
        <v>6</v>
      </c>
      <c r="H1426" s="1">
        <v>3</v>
      </c>
      <c r="I1426" s="1">
        <v>5</v>
      </c>
      <c r="J1426" s="1">
        <v>4.5</v>
      </c>
      <c r="M1426" s="4">
        <v>2688</v>
      </c>
      <c r="N1426" s="1">
        <v>3248</v>
      </c>
      <c r="O1426" s="1">
        <v>6855</v>
      </c>
      <c r="P1426" s="1">
        <v>3607</v>
      </c>
      <c r="Q1426" s="1" t="s">
        <v>42</v>
      </c>
      <c r="S1426" s="1" t="s">
        <v>42</v>
      </c>
      <c r="T1426" s="1" t="s">
        <v>153</v>
      </c>
      <c r="U1426" s="1">
        <v>624</v>
      </c>
      <c r="V1426" s="5">
        <v>43694</v>
      </c>
      <c r="W1426" s="5">
        <v>42454</v>
      </c>
      <c r="X1426" s="1">
        <v>8995000</v>
      </c>
      <c r="Y1426" s="1">
        <v>7250000</v>
      </c>
      <c r="Z1426" s="5">
        <v>43078</v>
      </c>
      <c r="AA1426" s="1">
        <v>6723450</v>
      </c>
      <c r="AB1426" s="1" t="s">
        <v>1195</v>
      </c>
      <c r="AC1426" s="5">
        <v>43112</v>
      </c>
      <c r="AF1426" s="1">
        <v>10019</v>
      </c>
      <c r="AI1426" s="1" t="s">
        <v>158</v>
      </c>
      <c r="AJ1426" s="1">
        <v>1930</v>
      </c>
      <c r="AK1426" s="1" t="s">
        <v>49</v>
      </c>
      <c r="AL1426" s="1">
        <v>51</v>
      </c>
    </row>
    <row r="1427" spans="1:38" x14ac:dyDescent="0.2">
      <c r="A1427" s="2" t="str">
        <f>HYPERLINK("https://www.compass.com/listing/425-west-50th-street-unit-phb-manhattan-ny-10019/333303311159119985/","425 W 50th St, Unit PHB")</f>
        <v>425 W 50th St, Unit PHB</v>
      </c>
      <c r="B1427" s="2" t="str">
        <f t="shared" si="214"/>
        <v>Stella Tower</v>
      </c>
      <c r="C1427" s="1" t="s">
        <v>67</v>
      </c>
      <c r="D1427" s="1" t="s">
        <v>41</v>
      </c>
      <c r="E1427" s="3">
        <v>5900000</v>
      </c>
      <c r="F1427" s="1">
        <v>2194.9404761904698</v>
      </c>
      <c r="G1427" s="1">
        <v>5.5</v>
      </c>
      <c r="H1427" s="1">
        <v>3</v>
      </c>
      <c r="I1427" s="1">
        <v>5</v>
      </c>
      <c r="J1427" s="1">
        <v>4.5</v>
      </c>
      <c r="K1427" s="1">
        <v>4</v>
      </c>
      <c r="L1427" s="1">
        <v>1</v>
      </c>
      <c r="M1427" s="4">
        <v>2688</v>
      </c>
      <c r="N1427" s="1">
        <v>3538</v>
      </c>
      <c r="O1427" s="1">
        <v>7838</v>
      </c>
      <c r="P1427" s="1">
        <v>4300</v>
      </c>
      <c r="Q1427" s="1" t="s">
        <v>42</v>
      </c>
      <c r="S1427" s="1" t="s">
        <v>42</v>
      </c>
      <c r="T1427" s="1" t="s">
        <v>153</v>
      </c>
      <c r="U1427" s="1">
        <v>21</v>
      </c>
      <c r="V1427" s="5">
        <v>44341</v>
      </c>
      <c r="W1427" s="5">
        <v>43712</v>
      </c>
      <c r="X1427" s="1">
        <v>5995000</v>
      </c>
      <c r="Y1427" s="1">
        <v>5995000</v>
      </c>
      <c r="Z1427" s="5">
        <v>43733</v>
      </c>
      <c r="AA1427" s="1">
        <v>5900000</v>
      </c>
      <c r="AB1427" s="1" t="s">
        <v>1230</v>
      </c>
      <c r="AC1427" s="5">
        <v>43766</v>
      </c>
      <c r="AF1427" s="1">
        <v>10019</v>
      </c>
      <c r="AI1427" s="1" t="s">
        <v>233</v>
      </c>
      <c r="AJ1427" s="1">
        <v>1930</v>
      </c>
      <c r="AK1427" s="1" t="s">
        <v>46</v>
      </c>
      <c r="AL1427" s="1">
        <v>51</v>
      </c>
    </row>
    <row r="1428" spans="1:38" x14ac:dyDescent="0.2">
      <c r="A1428" s="2" t="str">
        <f>HYPERLINK("https://www.compass.com/listing/425-west-50th-street-unit-14f-manhattan-ny-10019/4852271778254298609/","425 W 50th St, Unit 14F")</f>
        <v>425 W 50th St, Unit 14F</v>
      </c>
      <c r="B1428" s="2" t="str">
        <f t="shared" si="214"/>
        <v>Stella Tower</v>
      </c>
      <c r="C1428" s="1" t="s">
        <v>67</v>
      </c>
      <c r="D1428" s="1" t="s">
        <v>41</v>
      </c>
      <c r="E1428" s="3">
        <v>6313150</v>
      </c>
      <c r="F1428" s="1">
        <v>2870.91859936334</v>
      </c>
      <c r="G1428" s="1">
        <v>5</v>
      </c>
      <c r="H1428" s="1">
        <v>3</v>
      </c>
      <c r="I1428" s="1">
        <v>4</v>
      </c>
      <c r="J1428" s="1">
        <v>4</v>
      </c>
      <c r="K1428" s="1">
        <v>4</v>
      </c>
      <c r="M1428" s="4">
        <v>2199</v>
      </c>
      <c r="N1428" s="1">
        <v>2717</v>
      </c>
      <c r="O1428" s="1">
        <v>4381</v>
      </c>
      <c r="P1428" s="1">
        <v>1664</v>
      </c>
      <c r="Q1428" s="1" t="s">
        <v>42</v>
      </c>
      <c r="S1428" s="1" t="s">
        <v>42</v>
      </c>
      <c r="T1428" s="1" t="s">
        <v>153</v>
      </c>
      <c r="V1428" s="5">
        <v>44421</v>
      </c>
      <c r="W1428" s="5">
        <v>41976</v>
      </c>
      <c r="X1428" s="1">
        <v>6200000</v>
      </c>
      <c r="Y1428" s="1">
        <v>6200000</v>
      </c>
      <c r="Z1428" s="5">
        <v>41976</v>
      </c>
      <c r="AA1428" s="1">
        <v>6313150</v>
      </c>
      <c r="AB1428" s="1" t="s">
        <v>177</v>
      </c>
      <c r="AC1428" s="5">
        <v>42013</v>
      </c>
      <c r="AF1428" s="1">
        <v>10019</v>
      </c>
      <c r="AI1428" s="1" t="s">
        <v>233</v>
      </c>
      <c r="AJ1428" s="1">
        <v>1930</v>
      </c>
      <c r="AK1428" s="1" t="s">
        <v>46</v>
      </c>
      <c r="AL1428" s="1">
        <v>51</v>
      </c>
    </row>
    <row r="1429" spans="1:38" x14ac:dyDescent="0.2">
      <c r="A1429" s="2" t="str">
        <f>HYPERLINK("https://www.compass.com/listing/424-west-52nd-street-unit-3-manhattan-ny-10019/841555899189101881/","424 W 52nd St, Unit 3")</f>
        <v>424 W 52nd St, Unit 3</v>
      </c>
      <c r="B1429" s="2" t="str">
        <f>HYPERLINK("https://www.compass.com/building/424-w-52nd-st-manhattan-ny-10019/293533825726707925/","424 W 52nd St")</f>
        <v>424 W 52nd St</v>
      </c>
      <c r="C1429" s="1" t="s">
        <v>67</v>
      </c>
      <c r="D1429" s="1" t="s">
        <v>41</v>
      </c>
      <c r="E1429" s="3">
        <v>1999000</v>
      </c>
      <c r="F1429" s="1">
        <v>1514.3939393939299</v>
      </c>
      <c r="H1429" s="1">
        <v>2</v>
      </c>
      <c r="J1429" s="1">
        <v>2</v>
      </c>
      <c r="K1429" s="1">
        <v>2</v>
      </c>
      <c r="M1429" s="4">
        <v>1320</v>
      </c>
      <c r="N1429" s="1">
        <v>500</v>
      </c>
      <c r="O1429" s="1">
        <v>2096</v>
      </c>
      <c r="P1429" s="1">
        <v>1596</v>
      </c>
      <c r="Q1429" s="1" t="s">
        <v>42</v>
      </c>
      <c r="S1429" s="1" t="s">
        <v>42</v>
      </c>
      <c r="T1429" s="1" t="s">
        <v>153</v>
      </c>
      <c r="AA1429" s="1">
        <v>1999000</v>
      </c>
      <c r="AB1429" s="1" t="s">
        <v>1231</v>
      </c>
      <c r="AC1429" s="5">
        <v>44377</v>
      </c>
      <c r="AF1429" s="1">
        <v>10019</v>
      </c>
      <c r="AI1429" s="1" t="s">
        <v>1232</v>
      </c>
      <c r="AJ1429" s="1">
        <v>1998</v>
      </c>
      <c r="AL1429" s="1">
        <v>2</v>
      </c>
    </row>
    <row r="1430" spans="1:38" x14ac:dyDescent="0.2">
      <c r="A1430" s="2" t="str">
        <f>HYPERLINK("https://www.compass.com/listing/425-west-50th-street-unit-10f-manhattan-ny-10019/157678944852713041/","425 W 50th St, Unit 10F")</f>
        <v>425 W 50th St, Unit 10F</v>
      </c>
      <c r="B1430" s="2" t="str">
        <f>HYPERLINK("https://www.compass.com/building/stella-tower-manhattan-ny/281945855710262181/","Stella Tower")</f>
        <v>Stella Tower</v>
      </c>
      <c r="C1430" s="1" t="s">
        <v>67</v>
      </c>
      <c r="D1430" s="1" t="s">
        <v>41</v>
      </c>
      <c r="E1430" s="3">
        <v>3700000</v>
      </c>
      <c r="F1430" s="1">
        <v>1667.4177557458299</v>
      </c>
      <c r="H1430" s="1">
        <v>2</v>
      </c>
      <c r="J1430" s="1">
        <v>2.5</v>
      </c>
      <c r="M1430" s="4">
        <v>2219</v>
      </c>
      <c r="N1430" s="1">
        <v>2057</v>
      </c>
      <c r="O1430" s="1">
        <v>3317</v>
      </c>
      <c r="P1430" s="1">
        <v>1260</v>
      </c>
      <c r="Q1430" s="1" t="s">
        <v>42</v>
      </c>
      <c r="S1430" s="1" t="s">
        <v>42</v>
      </c>
      <c r="T1430" s="1" t="s">
        <v>153</v>
      </c>
      <c r="AA1430" s="1">
        <v>3700000</v>
      </c>
      <c r="AB1430" s="1" t="s">
        <v>1233</v>
      </c>
      <c r="AC1430" s="5">
        <v>43446</v>
      </c>
      <c r="AF1430" s="1">
        <v>10019</v>
      </c>
      <c r="AI1430" s="1" t="s">
        <v>45</v>
      </c>
      <c r="AJ1430" s="1">
        <v>1930</v>
      </c>
      <c r="AK1430" s="1" t="s">
        <v>49</v>
      </c>
      <c r="AL1430" s="1">
        <v>51</v>
      </c>
    </row>
    <row r="1431" spans="1:38" x14ac:dyDescent="0.2">
      <c r="A1431" s="2" t="str">
        <f>HYPERLINK("https://www.compass.com/listing/10-lenox-avenue-unit-5f-manhattan-ny-10026/215714445886866097/","10 Lenox Ave, Unit 5F")</f>
        <v>10 Lenox Ave, Unit 5F</v>
      </c>
      <c r="B1431" s="2" t="str">
        <f t="shared" ref="B1431:B1436" si="215">HYPERLINK("https://www.compass.com/building/10-lenox-manhattan-ny/455664456039547173/","10 Lenox")</f>
        <v>10 Lenox</v>
      </c>
      <c r="C1431" s="1" t="s">
        <v>60</v>
      </c>
      <c r="D1431" s="1" t="s">
        <v>41</v>
      </c>
      <c r="E1431" s="3">
        <v>840056</v>
      </c>
      <c r="F1431" s="1">
        <v>1265.14495481927</v>
      </c>
      <c r="G1431" s="1">
        <v>3</v>
      </c>
      <c r="H1431" s="1">
        <v>1</v>
      </c>
      <c r="I1431" s="1">
        <v>1</v>
      </c>
      <c r="J1431" s="1">
        <v>1</v>
      </c>
      <c r="K1431" s="1">
        <v>1</v>
      </c>
      <c r="M1431" s="1">
        <v>664</v>
      </c>
      <c r="N1431" s="1">
        <v>598</v>
      </c>
      <c r="O1431" s="1">
        <v>996</v>
      </c>
      <c r="P1431" s="1">
        <v>398</v>
      </c>
      <c r="Q1431" s="1" t="s">
        <v>42</v>
      </c>
      <c r="S1431" s="1" t="s">
        <v>42</v>
      </c>
      <c r="T1431" s="1" t="s">
        <v>153</v>
      </c>
      <c r="U1431" s="1">
        <v>333</v>
      </c>
      <c r="V1431" s="5">
        <v>44008</v>
      </c>
      <c r="W1431" s="5">
        <v>43549</v>
      </c>
      <c r="X1431" s="1">
        <v>815000</v>
      </c>
      <c r="Y1431" s="1">
        <v>825000</v>
      </c>
      <c r="Z1431" s="5">
        <v>43883</v>
      </c>
      <c r="AA1431" s="1">
        <v>840056.25</v>
      </c>
      <c r="AB1431" s="1" t="s">
        <v>1234</v>
      </c>
      <c r="AC1431" s="5">
        <v>44005</v>
      </c>
      <c r="AF1431" s="1">
        <v>10026</v>
      </c>
      <c r="AI1431" s="1" t="s">
        <v>107</v>
      </c>
      <c r="AJ1431" s="1">
        <v>2019</v>
      </c>
      <c r="AK1431" s="1" t="s">
        <v>64</v>
      </c>
      <c r="AL1431" s="1">
        <v>29</v>
      </c>
    </row>
    <row r="1432" spans="1:38" x14ac:dyDescent="0.2">
      <c r="A1432" s="2" t="str">
        <f>HYPERLINK("https://www.compass.com/listing/10-lenox-avenue-unit-3b-manhattan-ny-10026/335491696921690145/","10 Lenox Ave, Unit 3B")</f>
        <v>10 Lenox Ave, Unit 3B</v>
      </c>
      <c r="B1432" s="2" t="str">
        <f t="shared" si="215"/>
        <v>10 Lenox</v>
      </c>
      <c r="C1432" s="1" t="s">
        <v>60</v>
      </c>
      <c r="D1432" s="1" t="s">
        <v>41</v>
      </c>
      <c r="E1432" s="3">
        <v>738231</v>
      </c>
      <c r="F1432" s="1">
        <v>1400.8183111954399</v>
      </c>
      <c r="G1432" s="1">
        <v>2</v>
      </c>
      <c r="H1432" s="1" t="s">
        <v>94</v>
      </c>
      <c r="I1432" s="1">
        <v>1</v>
      </c>
      <c r="J1432" s="1">
        <v>1</v>
      </c>
      <c r="K1432" s="1">
        <v>1</v>
      </c>
      <c r="M1432" s="1">
        <v>527</v>
      </c>
      <c r="N1432" s="1">
        <v>476</v>
      </c>
      <c r="O1432" s="1">
        <v>1279</v>
      </c>
      <c r="P1432" s="1">
        <v>803</v>
      </c>
      <c r="Q1432" s="1" t="s">
        <v>42</v>
      </c>
      <c r="S1432" s="1" t="s">
        <v>42</v>
      </c>
      <c r="T1432" s="1" t="s">
        <v>153</v>
      </c>
      <c r="U1432" s="1">
        <v>189</v>
      </c>
      <c r="V1432" s="5">
        <v>44060</v>
      </c>
      <c r="W1432" s="5">
        <v>43714</v>
      </c>
      <c r="X1432" s="1">
        <v>725000</v>
      </c>
      <c r="Y1432" s="1">
        <v>725000</v>
      </c>
      <c r="Z1432" s="5">
        <v>43904</v>
      </c>
      <c r="AA1432" s="1">
        <v>738231.25</v>
      </c>
      <c r="AB1432" s="1" t="s">
        <v>1235</v>
      </c>
      <c r="AC1432" s="5">
        <v>44057</v>
      </c>
      <c r="AF1432" s="1">
        <v>10026</v>
      </c>
      <c r="AI1432" s="1" t="s">
        <v>107</v>
      </c>
      <c r="AJ1432" s="1">
        <v>2019</v>
      </c>
      <c r="AK1432" s="1" t="s">
        <v>64</v>
      </c>
      <c r="AL1432" s="1">
        <v>29</v>
      </c>
    </row>
    <row r="1433" spans="1:38" x14ac:dyDescent="0.2">
      <c r="A1433" s="2" t="str">
        <f>HYPERLINK("https://www.compass.com/listing/10-lenox-avenue-unit-4a-manhattan-ny-10026/335491697223610289/","10 Lenox Ave, Unit 4A")</f>
        <v>10 Lenox Ave, Unit 4A</v>
      </c>
      <c r="B1433" s="2" t="str">
        <f t="shared" si="215"/>
        <v>10 Lenox</v>
      </c>
      <c r="C1433" s="1" t="s">
        <v>60</v>
      </c>
      <c r="D1433" s="1" t="s">
        <v>41</v>
      </c>
      <c r="E1433" s="3">
        <v>895000</v>
      </c>
      <c r="F1433" s="1">
        <v>1293.35260115606</v>
      </c>
      <c r="G1433" s="1">
        <v>3</v>
      </c>
      <c r="H1433" s="1">
        <v>1</v>
      </c>
      <c r="I1433" s="1">
        <v>1</v>
      </c>
      <c r="J1433" s="1">
        <v>1</v>
      </c>
      <c r="K1433" s="1">
        <v>1</v>
      </c>
      <c r="M1433" s="1">
        <v>692</v>
      </c>
      <c r="N1433" s="1">
        <v>624</v>
      </c>
      <c r="O1433" s="1">
        <v>1041</v>
      </c>
      <c r="P1433" s="1">
        <v>417</v>
      </c>
      <c r="Q1433" s="1" t="s">
        <v>42</v>
      </c>
      <c r="S1433" s="1" t="s">
        <v>42</v>
      </c>
      <c r="T1433" s="1" t="s">
        <v>153</v>
      </c>
      <c r="U1433" s="1">
        <v>18</v>
      </c>
      <c r="V1433" s="5">
        <v>43880</v>
      </c>
      <c r="W1433" s="5">
        <v>43714</v>
      </c>
      <c r="X1433" s="1">
        <v>895000</v>
      </c>
      <c r="Y1433" s="1">
        <v>895000</v>
      </c>
      <c r="Z1433" s="5">
        <v>43733</v>
      </c>
      <c r="AA1433" s="1">
        <v>895000</v>
      </c>
      <c r="AB1433" s="1" t="s">
        <v>1236</v>
      </c>
      <c r="AC1433" s="5">
        <v>43839</v>
      </c>
      <c r="AF1433" s="1">
        <v>10026</v>
      </c>
      <c r="AI1433" s="1" t="s">
        <v>107</v>
      </c>
      <c r="AJ1433" s="1">
        <v>2019</v>
      </c>
      <c r="AK1433" s="1" t="s">
        <v>64</v>
      </c>
      <c r="AL1433" s="1">
        <v>29</v>
      </c>
    </row>
    <row r="1434" spans="1:38" x14ac:dyDescent="0.2">
      <c r="A1434" s="2" t="str">
        <f>HYPERLINK("https://www.compass.com/listing/10-lenox-avenue-unit-5a-manhattan-ny-10026/441859675588427625/","10 Lenox Ave, Unit 5A")</f>
        <v>10 Lenox Ave, Unit 5A</v>
      </c>
      <c r="B1434" s="2" t="str">
        <f t="shared" si="215"/>
        <v>10 Lenox</v>
      </c>
      <c r="C1434" s="1" t="s">
        <v>60</v>
      </c>
      <c r="D1434" s="1" t="s">
        <v>41</v>
      </c>
      <c r="E1434" s="3">
        <v>936790</v>
      </c>
      <c r="F1434" s="1">
        <v>1353.74277456647</v>
      </c>
      <c r="G1434" s="1">
        <v>3</v>
      </c>
      <c r="H1434" s="1">
        <v>1</v>
      </c>
      <c r="I1434" s="1">
        <v>1</v>
      </c>
      <c r="J1434" s="1">
        <v>1</v>
      </c>
      <c r="K1434" s="1">
        <v>1</v>
      </c>
      <c r="M1434" s="1">
        <v>692</v>
      </c>
      <c r="N1434" s="1">
        <v>625</v>
      </c>
      <c r="O1434" s="1">
        <v>1680</v>
      </c>
      <c r="P1434" s="1">
        <v>1055</v>
      </c>
      <c r="Q1434" s="1" t="s">
        <v>42</v>
      </c>
      <c r="S1434" s="1" t="s">
        <v>42</v>
      </c>
      <c r="T1434" s="1" t="s">
        <v>153</v>
      </c>
      <c r="U1434" s="1">
        <v>53</v>
      </c>
      <c r="V1434" s="5">
        <v>44189</v>
      </c>
      <c r="W1434" s="5">
        <v>43861</v>
      </c>
      <c r="X1434" s="1">
        <v>920000</v>
      </c>
      <c r="Y1434" s="1">
        <v>920000</v>
      </c>
      <c r="Z1434" s="5">
        <v>44009</v>
      </c>
      <c r="AA1434" s="1">
        <v>936790</v>
      </c>
      <c r="AB1434" s="1" t="s">
        <v>1237</v>
      </c>
      <c r="AC1434" s="5">
        <v>44187</v>
      </c>
      <c r="AF1434" s="1">
        <v>10026</v>
      </c>
      <c r="AI1434" s="1" t="s">
        <v>1225</v>
      </c>
      <c r="AJ1434" s="1">
        <v>2019</v>
      </c>
      <c r="AK1434" s="1" t="s">
        <v>64</v>
      </c>
      <c r="AL1434" s="1">
        <v>29</v>
      </c>
    </row>
    <row r="1435" spans="1:38" x14ac:dyDescent="0.2">
      <c r="A1435" s="2" t="str">
        <f>HYPERLINK("https://www.compass.com/listing/10-lenox-avenue-unit-6f-manhattan-ny-10026/457278915264850505/","10 Lenox Ave, Unit 6F")</f>
        <v>10 Lenox Ave, Unit 6F</v>
      </c>
      <c r="B1435" s="2" t="str">
        <f t="shared" si="215"/>
        <v>10 Lenox</v>
      </c>
      <c r="C1435" s="1" t="s">
        <v>60</v>
      </c>
      <c r="D1435" s="1" t="s">
        <v>41</v>
      </c>
      <c r="E1435" s="3">
        <v>860421</v>
      </c>
      <c r="F1435" s="1">
        <v>1295.8151355421601</v>
      </c>
      <c r="G1435" s="1">
        <v>3</v>
      </c>
      <c r="H1435" s="1">
        <v>1</v>
      </c>
      <c r="I1435" s="1">
        <v>1</v>
      </c>
      <c r="J1435" s="1">
        <v>1</v>
      </c>
      <c r="K1435" s="1">
        <v>1</v>
      </c>
      <c r="M1435" s="1">
        <v>664</v>
      </c>
      <c r="N1435" s="1">
        <v>599</v>
      </c>
      <c r="O1435" s="1">
        <v>1611</v>
      </c>
      <c r="P1435" s="1">
        <v>1012</v>
      </c>
      <c r="Q1435" s="1" t="s">
        <v>42</v>
      </c>
      <c r="S1435" s="1" t="s">
        <v>42</v>
      </c>
      <c r="T1435" s="1" t="s">
        <v>153</v>
      </c>
      <c r="U1435" s="1">
        <v>32</v>
      </c>
      <c r="V1435" s="5">
        <v>44189</v>
      </c>
      <c r="W1435" s="5">
        <v>43882</v>
      </c>
      <c r="X1435" s="1">
        <v>845000</v>
      </c>
      <c r="Y1435" s="1">
        <v>845000</v>
      </c>
      <c r="Z1435" s="5">
        <v>44009</v>
      </c>
      <c r="AA1435" s="1">
        <v>860421.25</v>
      </c>
      <c r="AB1435" s="1" t="s">
        <v>1238</v>
      </c>
      <c r="AC1435" s="5">
        <v>44187</v>
      </c>
      <c r="AF1435" s="1">
        <v>10026</v>
      </c>
      <c r="AI1435" s="1" t="s">
        <v>107</v>
      </c>
      <c r="AJ1435" s="1">
        <v>2019</v>
      </c>
      <c r="AK1435" s="1" t="s">
        <v>64</v>
      </c>
      <c r="AL1435" s="1">
        <v>29</v>
      </c>
    </row>
    <row r="1436" spans="1:38" x14ac:dyDescent="0.2">
      <c r="A1436" s="2" t="str">
        <f>HYPERLINK("https://www.compass.com/listing/10-lenox-avenue-unit-3d-manhattan-ny-10026/550750972769795609/","10 Lenox Ave, Unit 3D")</f>
        <v>10 Lenox Ave, Unit 3D</v>
      </c>
      <c r="B1436" s="2" t="str">
        <f t="shared" si="215"/>
        <v>10 Lenox</v>
      </c>
      <c r="C1436" s="1" t="s">
        <v>60</v>
      </c>
      <c r="D1436" s="1" t="s">
        <v>41</v>
      </c>
      <c r="E1436" s="3">
        <v>850250</v>
      </c>
      <c r="F1436" s="1">
        <v>1284.36555891238</v>
      </c>
      <c r="G1436" s="1">
        <v>3</v>
      </c>
      <c r="H1436" s="1">
        <v>1</v>
      </c>
      <c r="I1436" s="1">
        <v>1</v>
      </c>
      <c r="J1436" s="1">
        <v>1</v>
      </c>
      <c r="K1436" s="1">
        <v>1</v>
      </c>
      <c r="M1436" s="1">
        <v>662</v>
      </c>
      <c r="N1436" s="1">
        <v>597</v>
      </c>
      <c r="O1436" s="1">
        <v>1606</v>
      </c>
      <c r="P1436" s="1">
        <v>1009</v>
      </c>
      <c r="Q1436" s="1" t="s">
        <v>42</v>
      </c>
      <c r="S1436" s="1" t="s">
        <v>42</v>
      </c>
      <c r="T1436" s="1" t="s">
        <v>153</v>
      </c>
      <c r="U1436" s="1">
        <v>182</v>
      </c>
      <c r="V1436" s="5">
        <v>44259</v>
      </c>
      <c r="W1436" s="5">
        <v>44011</v>
      </c>
      <c r="X1436" s="1">
        <v>979000</v>
      </c>
      <c r="Y1436" s="1">
        <v>850250</v>
      </c>
      <c r="Z1436" s="5">
        <v>44194</v>
      </c>
      <c r="AA1436" s="1">
        <v>850250</v>
      </c>
      <c r="AB1436" s="1" t="s">
        <v>1239</v>
      </c>
      <c r="AC1436" s="5">
        <v>44256</v>
      </c>
      <c r="AF1436" s="1">
        <v>10026</v>
      </c>
      <c r="AI1436" s="1" t="s">
        <v>107</v>
      </c>
      <c r="AJ1436" s="1">
        <v>2019</v>
      </c>
      <c r="AK1436" s="1" t="s">
        <v>64</v>
      </c>
      <c r="AL1436" s="1">
        <v>29</v>
      </c>
    </row>
    <row r="1437" spans="1:38" x14ac:dyDescent="0.2">
      <c r="A1437" s="2" t="str">
        <f>HYPERLINK("https://www.compass.com/listing/57-west-127th-street-unit-1-manhattan-ny-10027/803393449759612881/","57 W 127th St, Unit 1")</f>
        <v>57 W 127th St, Unit 1</v>
      </c>
      <c r="B1437" s="2" t="str">
        <f>HYPERLINK("https://www.compass.com/building/san-giorgio-manhattan-ny/281983292037763781/","San Giorgio")</f>
        <v>San Giorgio</v>
      </c>
      <c r="C1437" s="1" t="s">
        <v>141</v>
      </c>
      <c r="D1437" s="1" t="s">
        <v>41</v>
      </c>
      <c r="E1437" s="3">
        <v>910000</v>
      </c>
      <c r="F1437" s="1">
        <v>1006.63716814159</v>
      </c>
      <c r="G1437" s="1">
        <v>4</v>
      </c>
      <c r="H1437" s="1">
        <v>2</v>
      </c>
      <c r="I1437" s="1">
        <v>2</v>
      </c>
      <c r="J1437" s="1">
        <v>1.5</v>
      </c>
      <c r="M1437" s="1">
        <v>904</v>
      </c>
      <c r="N1437" s="1">
        <v>638</v>
      </c>
      <c r="O1437" s="1">
        <v>1384</v>
      </c>
      <c r="P1437" s="1">
        <v>746</v>
      </c>
      <c r="Q1437" s="1" t="s">
        <v>42</v>
      </c>
      <c r="S1437" s="1" t="s">
        <v>42</v>
      </c>
      <c r="T1437" s="1" t="s">
        <v>153</v>
      </c>
      <c r="U1437" s="1">
        <v>104</v>
      </c>
      <c r="V1437" s="5">
        <v>42530</v>
      </c>
      <c r="W1437" s="5">
        <v>42345</v>
      </c>
      <c r="X1437" s="1">
        <v>910000</v>
      </c>
      <c r="Y1437" s="1">
        <v>910000</v>
      </c>
      <c r="Z1437" s="5">
        <v>42450</v>
      </c>
      <c r="AA1437" s="1">
        <v>910000</v>
      </c>
      <c r="AB1437" s="1" t="s">
        <v>1208</v>
      </c>
      <c r="AC1437" s="5">
        <v>42523</v>
      </c>
      <c r="AF1437" s="1">
        <v>10027</v>
      </c>
      <c r="AJ1437" s="1">
        <v>1899</v>
      </c>
      <c r="AL1437" s="1">
        <v>6</v>
      </c>
    </row>
    <row r="1438" spans="1:38" x14ac:dyDescent="0.2">
      <c r="A1438" s="2" t="str">
        <f>HYPERLINK("https://www.compass.com/listing/427-west-154th-street-unit-9-manhattan-ny-10032/29434549062714065/","427 W 154th St, Unit 9")</f>
        <v>427 W 154th St, Unit 9</v>
      </c>
      <c r="B1438" s="2" t="str">
        <f t="shared" ref="B1438:B1439" si="216">HYPERLINK("https://www.compass.com/building/427-w-154th-st-manhattan-ny-10032/282005560126208341/","427 W 154th St")</f>
        <v>427 W 154th St</v>
      </c>
      <c r="C1438" s="1" t="s">
        <v>82</v>
      </c>
      <c r="D1438" s="1" t="s">
        <v>41</v>
      </c>
      <c r="E1438" s="3">
        <v>621133</v>
      </c>
      <c r="F1438" s="1">
        <v>713.94597701149405</v>
      </c>
      <c r="G1438" s="1">
        <v>4</v>
      </c>
      <c r="H1438" s="1">
        <v>2</v>
      </c>
      <c r="I1438" s="1">
        <v>1</v>
      </c>
      <c r="J1438" s="1">
        <v>1</v>
      </c>
      <c r="K1438" s="1">
        <v>1</v>
      </c>
      <c r="M1438" s="1">
        <v>870</v>
      </c>
      <c r="N1438" s="1">
        <v>512.04999999999995</v>
      </c>
      <c r="O1438" s="1">
        <v>633.36999999999898</v>
      </c>
      <c r="P1438" s="1">
        <v>121.333333333333</v>
      </c>
      <c r="Q1438" s="1" t="s">
        <v>42</v>
      </c>
      <c r="S1438" s="1" t="s">
        <v>42</v>
      </c>
      <c r="T1438" s="1" t="s">
        <v>153</v>
      </c>
      <c r="U1438" s="1">
        <v>49</v>
      </c>
      <c r="V1438" s="5">
        <v>43649</v>
      </c>
      <c r="W1438" s="5">
        <v>42788</v>
      </c>
      <c r="X1438" s="1">
        <v>610000</v>
      </c>
      <c r="Y1438" s="1">
        <v>610000</v>
      </c>
      <c r="Z1438" s="5">
        <v>42837</v>
      </c>
      <c r="AA1438" s="1">
        <v>621133</v>
      </c>
      <c r="AB1438" s="1" t="s">
        <v>1240</v>
      </c>
      <c r="AC1438" s="5">
        <v>43076</v>
      </c>
      <c r="AF1438" s="1">
        <v>10032</v>
      </c>
      <c r="AJ1438" s="1">
        <v>1985</v>
      </c>
      <c r="AL1438" s="1">
        <v>10</v>
      </c>
    </row>
    <row r="1439" spans="1:38" x14ac:dyDescent="0.2">
      <c r="A1439" s="2" t="str">
        <f>HYPERLINK("https://www.compass.com/listing/427-west-154th-street-unit-1-manhattan-ny-10032/29434547166824033/","427 W 154th St, Unit 1")</f>
        <v>427 W 154th St, Unit 1</v>
      </c>
      <c r="B1439" s="2" t="str">
        <f t="shared" si="216"/>
        <v>427 W 154th St</v>
      </c>
      <c r="C1439" s="1" t="s">
        <v>82</v>
      </c>
      <c r="D1439" s="1" t="s">
        <v>41</v>
      </c>
      <c r="E1439" s="3">
        <v>1204081</v>
      </c>
      <c r="F1439" s="1">
        <v>752.55062499999997</v>
      </c>
      <c r="G1439" s="1">
        <v>5</v>
      </c>
      <c r="H1439" s="1">
        <v>3</v>
      </c>
      <c r="I1439" s="1">
        <v>2</v>
      </c>
      <c r="J1439" s="1">
        <v>2</v>
      </c>
      <c r="K1439" s="1">
        <v>2</v>
      </c>
      <c r="M1439" s="4">
        <v>1600</v>
      </c>
      <c r="N1439" s="1">
        <v>943.01</v>
      </c>
      <c r="O1439" s="1">
        <v>1166.44</v>
      </c>
      <c r="P1439" s="1">
        <v>223.416666666666</v>
      </c>
      <c r="Q1439" s="1" t="s">
        <v>42</v>
      </c>
      <c r="S1439" s="1" t="s">
        <v>42</v>
      </c>
      <c r="T1439" s="1" t="s">
        <v>153</v>
      </c>
      <c r="U1439" s="1">
        <v>224</v>
      </c>
      <c r="V1439" s="5">
        <v>43641</v>
      </c>
      <c r="W1439" s="5">
        <v>42564</v>
      </c>
      <c r="X1439" s="1">
        <v>1250000</v>
      </c>
      <c r="Y1439" s="1">
        <v>1199000</v>
      </c>
      <c r="Z1439" s="5">
        <v>42788</v>
      </c>
      <c r="AA1439" s="1">
        <v>1204081</v>
      </c>
      <c r="AB1439" s="1" t="s">
        <v>1241</v>
      </c>
      <c r="AC1439" s="5">
        <v>43074</v>
      </c>
      <c r="AF1439" s="1">
        <v>10032</v>
      </c>
      <c r="AJ1439" s="1">
        <v>1985</v>
      </c>
      <c r="AL1439" s="1">
        <v>10</v>
      </c>
    </row>
    <row r="1440" spans="1:38" x14ac:dyDescent="0.2">
      <c r="A1440" s="2" t="str">
        <f>HYPERLINK("https://www.compass.com/listing/425-west-50th-street-unit-14ab-manhattan-ny-10019/4852270814822673777/","425 W 50th St, Unit 14AB")</f>
        <v>425 W 50th St, Unit 14AB</v>
      </c>
      <c r="B1440" s="2" t="str">
        <f>HYPERLINK("https://www.compass.com/building/stella-tower-manhattan-ny/281945855710262181/","Stella Tower")</f>
        <v>Stella Tower</v>
      </c>
      <c r="C1440" s="1" t="s">
        <v>67</v>
      </c>
      <c r="D1440" s="1" t="s">
        <v>41</v>
      </c>
      <c r="E1440" s="3">
        <v>6900000</v>
      </c>
      <c r="F1440" s="1">
        <v>2698.4747751271002</v>
      </c>
      <c r="G1440" s="1">
        <v>8</v>
      </c>
      <c r="H1440" s="1">
        <v>4</v>
      </c>
      <c r="I1440" s="1">
        <v>4</v>
      </c>
      <c r="J1440" s="1">
        <v>3.5</v>
      </c>
      <c r="M1440" s="4">
        <v>2557</v>
      </c>
      <c r="N1440" s="1">
        <v>3176</v>
      </c>
      <c r="O1440" s="1">
        <v>6365</v>
      </c>
      <c r="P1440" s="1">
        <v>3189</v>
      </c>
      <c r="Q1440" s="1" t="s">
        <v>42</v>
      </c>
      <c r="S1440" s="1" t="s">
        <v>42</v>
      </c>
      <c r="T1440" s="1" t="s">
        <v>153</v>
      </c>
      <c r="U1440" s="1">
        <v>603</v>
      </c>
      <c r="V1440" s="5">
        <v>43670</v>
      </c>
      <c r="W1440" s="5">
        <v>42206</v>
      </c>
      <c r="X1440" s="1">
        <v>8600000</v>
      </c>
      <c r="Y1440" s="1">
        <v>6900000</v>
      </c>
      <c r="AA1440" s="1">
        <v>6900000</v>
      </c>
      <c r="AB1440" s="1" t="s">
        <v>177</v>
      </c>
      <c r="AC1440" s="5">
        <v>42809</v>
      </c>
      <c r="AF1440" s="1">
        <v>10019</v>
      </c>
      <c r="AI1440" s="1" t="s">
        <v>158</v>
      </c>
      <c r="AJ1440" s="1">
        <v>1930</v>
      </c>
      <c r="AK1440" s="1" t="s">
        <v>46</v>
      </c>
      <c r="AL1440" s="1">
        <v>51</v>
      </c>
    </row>
    <row r="1441" spans="1:38" x14ac:dyDescent="0.2">
      <c r="A1441" s="2" t="str">
        <f>HYPERLINK("https://www.compass.com/listing/159-west-126th-street-unit-4a-manhattan-ny-10027/132466772837225681/","159 W 126th St, Unit 4A")</f>
        <v>159 W 126th St, Unit 4A</v>
      </c>
      <c r="B1441" s="2" t="str">
        <f>HYPERLINK("https://www.compass.com/building/159-w-126th-st-manhattan-ny-10027/281979329234174885/","159 W 126th St")</f>
        <v>159 W 126th St</v>
      </c>
      <c r="C1441" s="1" t="s">
        <v>141</v>
      </c>
      <c r="D1441" s="1" t="s">
        <v>41</v>
      </c>
      <c r="E1441" s="3">
        <v>780000</v>
      </c>
      <c r="F1441" s="1">
        <v>1111.1111111111099</v>
      </c>
      <c r="G1441" s="1">
        <v>4</v>
      </c>
      <c r="H1441" s="1">
        <v>2</v>
      </c>
      <c r="I1441" s="1">
        <v>1</v>
      </c>
      <c r="J1441" s="1">
        <v>1</v>
      </c>
      <c r="K1441" s="1">
        <v>1</v>
      </c>
      <c r="M1441" s="1">
        <v>702</v>
      </c>
      <c r="N1441" s="1">
        <v>288</v>
      </c>
      <c r="O1441" s="1">
        <v>887</v>
      </c>
      <c r="P1441" s="1">
        <v>599</v>
      </c>
      <c r="Q1441" s="1" t="s">
        <v>1242</v>
      </c>
      <c r="S1441" s="1" t="s">
        <v>1243</v>
      </c>
      <c r="T1441" s="1" t="s">
        <v>153</v>
      </c>
      <c r="U1441" s="1">
        <v>93</v>
      </c>
      <c r="V1441" s="5">
        <v>43598</v>
      </c>
      <c r="W1441" s="5">
        <v>43435</v>
      </c>
      <c r="X1441" s="1">
        <v>799000</v>
      </c>
      <c r="Y1441" s="1">
        <v>850000</v>
      </c>
      <c r="AA1441" s="1">
        <v>780000</v>
      </c>
      <c r="AB1441" s="1" t="s">
        <v>1244</v>
      </c>
      <c r="AC1441" s="5">
        <v>43567</v>
      </c>
      <c r="AF1441" s="1">
        <v>10027</v>
      </c>
      <c r="AI1441" s="1" t="s">
        <v>1245</v>
      </c>
      <c r="AJ1441" s="1">
        <v>1910</v>
      </c>
      <c r="AL1441" s="1">
        <v>10</v>
      </c>
    </row>
    <row r="1442" spans="1:38" x14ac:dyDescent="0.2">
      <c r="A1442" s="2" t="str">
        <f>HYPERLINK("https://www.compass.com/listing/449-west-162nd-street-unit-2-manhattan-ny-10032/29513429064702081/","449 W 162nd St, Unit 2")</f>
        <v>449 W 162nd St, Unit 2</v>
      </c>
      <c r="B1442" s="2" t="str">
        <f t="shared" ref="B1442:B1443" si="217">HYPERLINK("https://www.compass.com/building/449-w-162nd-st-manhattan-ny-10032/282005823302005173/","449 W 162nd St")</f>
        <v>449 W 162nd St</v>
      </c>
      <c r="C1442" s="1" t="s">
        <v>1184</v>
      </c>
      <c r="D1442" s="1" t="s">
        <v>41</v>
      </c>
      <c r="E1442" s="3">
        <v>812564</v>
      </c>
      <c r="F1442" s="1">
        <v>907.89273743016702</v>
      </c>
      <c r="G1442" s="1">
        <v>4</v>
      </c>
      <c r="H1442" s="1">
        <v>2</v>
      </c>
      <c r="I1442" s="1">
        <v>2</v>
      </c>
      <c r="J1442" s="1">
        <v>2</v>
      </c>
      <c r="K1442" s="1">
        <v>2</v>
      </c>
      <c r="M1442" s="1">
        <v>895</v>
      </c>
      <c r="N1442" s="1">
        <v>290</v>
      </c>
      <c r="O1442" s="1">
        <v>565</v>
      </c>
      <c r="P1442" s="1">
        <v>275</v>
      </c>
      <c r="Q1442" s="1" t="s">
        <v>42</v>
      </c>
      <c r="S1442" s="1" t="s">
        <v>42</v>
      </c>
      <c r="T1442" s="1" t="s">
        <v>153</v>
      </c>
      <c r="V1442" s="5">
        <v>43644</v>
      </c>
      <c r="W1442" s="5">
        <v>43543</v>
      </c>
      <c r="X1442" s="1">
        <v>848000</v>
      </c>
      <c r="Y1442" s="1">
        <v>848000</v>
      </c>
      <c r="Z1442" s="5">
        <v>43543</v>
      </c>
      <c r="AA1442" s="1">
        <v>812564</v>
      </c>
      <c r="AB1442" s="1" t="s">
        <v>1246</v>
      </c>
      <c r="AC1442" s="5">
        <v>43601</v>
      </c>
      <c r="AF1442" s="1">
        <v>10032</v>
      </c>
      <c r="AI1442" s="1" t="s">
        <v>1247</v>
      </c>
      <c r="AJ1442" s="1">
        <v>1905</v>
      </c>
      <c r="AL1442" s="1">
        <v>4</v>
      </c>
    </row>
    <row r="1443" spans="1:38" x14ac:dyDescent="0.2">
      <c r="A1443" s="2" t="str">
        <f>HYPERLINK("https://www.compass.com/listing/449-west-162nd-street-unit-3-manhattan-ny-10032/29519913064451537/","449 W 162nd St, Unit 3")</f>
        <v>449 W 162nd St, Unit 3</v>
      </c>
      <c r="B1443" s="2" t="str">
        <f t="shared" si="217"/>
        <v>449 W 162nd St</v>
      </c>
      <c r="C1443" s="1" t="s">
        <v>1184</v>
      </c>
      <c r="D1443" s="1" t="s">
        <v>41</v>
      </c>
      <c r="E1443" s="3">
        <v>840000</v>
      </c>
      <c r="F1443" s="1">
        <v>938.54748603351902</v>
      </c>
      <c r="G1443" s="1">
        <v>5</v>
      </c>
      <c r="H1443" s="1">
        <v>2</v>
      </c>
      <c r="I1443" s="1">
        <v>2</v>
      </c>
      <c r="J1443" s="1">
        <v>2</v>
      </c>
      <c r="K1443" s="1">
        <v>2</v>
      </c>
      <c r="M1443" s="1">
        <v>895</v>
      </c>
      <c r="N1443" s="1">
        <v>290</v>
      </c>
      <c r="O1443" s="1">
        <v>565</v>
      </c>
      <c r="P1443" s="1">
        <v>275</v>
      </c>
      <c r="Q1443" s="1" t="s">
        <v>1242</v>
      </c>
      <c r="R1443" s="1" t="s">
        <v>1248</v>
      </c>
      <c r="S1443" s="1" t="s">
        <v>1249</v>
      </c>
      <c r="T1443" s="1" t="s">
        <v>153</v>
      </c>
      <c r="U1443" s="1">
        <v>26</v>
      </c>
      <c r="V1443" s="5">
        <v>43610</v>
      </c>
      <c r="W1443" s="5">
        <v>43132</v>
      </c>
      <c r="X1443" s="1">
        <v>848000</v>
      </c>
      <c r="Y1443" s="1">
        <v>848000</v>
      </c>
      <c r="Z1443" s="5">
        <v>43159</v>
      </c>
      <c r="AA1443" s="1">
        <v>840000</v>
      </c>
      <c r="AB1443" s="1" t="s">
        <v>1250</v>
      </c>
      <c r="AC1443" s="5">
        <v>43587</v>
      </c>
      <c r="AF1443" s="1">
        <v>10032</v>
      </c>
      <c r="AG1443" s="1" t="s">
        <v>1251</v>
      </c>
      <c r="AI1443" s="1" t="s">
        <v>1247</v>
      </c>
      <c r="AJ1443" s="1">
        <v>1905</v>
      </c>
      <c r="AL1443" s="1">
        <v>4</v>
      </c>
    </row>
    <row r="1444" spans="1:38" x14ac:dyDescent="0.2">
      <c r="A1444" s="2" t="str">
        <f>HYPERLINK("https://www.compass.com/listing/427-west-154th-street-unit-4-manhattan-ny-10032/603862456009382513/","427 W 154th St, Unit 4")</f>
        <v>427 W 154th St, Unit 4</v>
      </c>
      <c r="B1444" s="2" t="str">
        <f>HYPERLINK("https://www.compass.com/building/427-w-154th-st-manhattan-ny-10032/282005560126208341/","427 W 154th St")</f>
        <v>427 W 154th St</v>
      </c>
      <c r="C1444" s="1" t="s">
        <v>82</v>
      </c>
      <c r="D1444" s="1" t="s">
        <v>41</v>
      </c>
      <c r="E1444" s="3">
        <v>638000</v>
      </c>
      <c r="F1444" s="1">
        <v>745.32710280373794</v>
      </c>
      <c r="G1444" s="1">
        <v>4</v>
      </c>
      <c r="H1444" s="1">
        <v>2</v>
      </c>
      <c r="I1444" s="1">
        <v>2</v>
      </c>
      <c r="J1444" s="1">
        <v>2</v>
      </c>
      <c r="K1444" s="1">
        <v>2</v>
      </c>
      <c r="M1444" s="1">
        <v>856</v>
      </c>
      <c r="N1444" s="1">
        <v>503</v>
      </c>
      <c r="O1444" s="1">
        <v>638</v>
      </c>
      <c r="P1444" s="1">
        <v>135</v>
      </c>
      <c r="Q1444" s="1" t="s">
        <v>42</v>
      </c>
      <c r="S1444" s="1" t="s">
        <v>42</v>
      </c>
      <c r="T1444" s="1" t="s">
        <v>153</v>
      </c>
      <c r="U1444" s="1">
        <v>207</v>
      </c>
      <c r="V1444" s="5">
        <v>44404</v>
      </c>
      <c r="W1444" s="5">
        <v>44085</v>
      </c>
      <c r="X1444" s="1">
        <v>699000</v>
      </c>
      <c r="Y1444" s="1">
        <v>649000</v>
      </c>
      <c r="Z1444" s="5">
        <v>44292</v>
      </c>
      <c r="AA1444" s="1">
        <v>638000</v>
      </c>
      <c r="AB1444" s="1" t="s">
        <v>1252</v>
      </c>
      <c r="AC1444" s="5">
        <v>44369</v>
      </c>
      <c r="AF1444" s="1">
        <v>10032</v>
      </c>
      <c r="AJ1444" s="1">
        <v>1985</v>
      </c>
      <c r="AL1444" s="1">
        <v>10</v>
      </c>
    </row>
    <row r="1445" spans="1:38" x14ac:dyDescent="0.2">
      <c r="A1445" s="2" t="str">
        <f>HYPERLINK("https://www.compass.com/listing/2457-frederick-douglass-boulevard-unit-3b-manhattan-ny-10027/282611678393139217/","2457 Frederick Douglass Blvd, Unit 3B")</f>
        <v>2457 Frederick Douglass Blvd, Unit 3B</v>
      </c>
      <c r="B1445" s="2" t="str">
        <f>HYPERLINK("https://www.compass.com/building/2457-frederick-douglass-blvd-manhattan-ny-10027/293531002213539157/","2457 Frederick Douglass Blvd")</f>
        <v>2457 Frederick Douglass Blvd</v>
      </c>
      <c r="C1445" s="1" t="s">
        <v>60</v>
      </c>
      <c r="D1445" s="1" t="s">
        <v>41</v>
      </c>
      <c r="E1445" s="3">
        <v>700000</v>
      </c>
      <c r="F1445" s="1">
        <v>994.31818181818096</v>
      </c>
      <c r="G1445" s="1">
        <v>3.5</v>
      </c>
      <c r="H1445" s="1">
        <v>1</v>
      </c>
      <c r="I1445" s="1">
        <v>1</v>
      </c>
      <c r="J1445" s="1">
        <v>1</v>
      </c>
      <c r="K1445" s="1">
        <v>1</v>
      </c>
      <c r="M1445" s="1">
        <v>704</v>
      </c>
      <c r="N1445" s="1">
        <v>412</v>
      </c>
      <c r="O1445" s="1">
        <v>547</v>
      </c>
      <c r="P1445" s="1">
        <v>135</v>
      </c>
      <c r="Q1445" s="1" t="s">
        <v>42</v>
      </c>
      <c r="S1445" s="1" t="s">
        <v>42</v>
      </c>
      <c r="T1445" s="1" t="s">
        <v>153</v>
      </c>
      <c r="V1445" s="5">
        <v>44427</v>
      </c>
      <c r="W1445" s="5">
        <v>43641</v>
      </c>
      <c r="X1445" s="1">
        <v>711000</v>
      </c>
      <c r="Y1445" s="1">
        <v>711000</v>
      </c>
      <c r="Z1445" s="5">
        <v>44006</v>
      </c>
      <c r="AA1445" s="1">
        <v>700000</v>
      </c>
      <c r="AB1445" s="1" t="s">
        <v>1253</v>
      </c>
      <c r="AC1445" s="5">
        <v>44119</v>
      </c>
      <c r="AF1445" s="1">
        <v>10027</v>
      </c>
      <c r="AI1445" s="1" t="s">
        <v>1254</v>
      </c>
      <c r="AJ1445" s="1">
        <v>2019</v>
      </c>
      <c r="AK1445" s="1" t="s">
        <v>359</v>
      </c>
      <c r="AL1445" s="1">
        <v>1</v>
      </c>
    </row>
    <row r="1446" spans="1:38" x14ac:dyDescent="0.2">
      <c r="A1446" s="2" t="str">
        <f>HYPERLINK("https://www.compass.com/listing/505-west-173rd-street-unit-2-manhattan-ny-10032/29435299004230769/","505 W 173rd St, Unit 2")</f>
        <v>505 W 173rd St, Unit 2</v>
      </c>
      <c r="B1446" s="1" t="s">
        <v>1255</v>
      </c>
      <c r="C1446" s="1" t="s">
        <v>1184</v>
      </c>
      <c r="D1446" s="1" t="s">
        <v>41</v>
      </c>
      <c r="E1446" s="3">
        <v>491790</v>
      </c>
      <c r="F1446" s="1">
        <v>586.16209773539902</v>
      </c>
      <c r="G1446" s="1">
        <v>4</v>
      </c>
      <c r="H1446" s="1">
        <v>2</v>
      </c>
      <c r="I1446" s="1">
        <v>1</v>
      </c>
      <c r="J1446" s="1">
        <v>1</v>
      </c>
      <c r="K1446" s="1">
        <v>1</v>
      </c>
      <c r="M1446" s="1">
        <v>839</v>
      </c>
      <c r="N1446" s="1">
        <v>700</v>
      </c>
      <c r="O1446" s="1">
        <v>740</v>
      </c>
      <c r="P1446" s="1">
        <v>40</v>
      </c>
      <c r="Q1446" s="1" t="s">
        <v>42</v>
      </c>
      <c r="S1446" s="1" t="s">
        <v>42</v>
      </c>
      <c r="T1446" s="1" t="s">
        <v>153</v>
      </c>
      <c r="U1446" s="1">
        <v>47</v>
      </c>
      <c r="V1446" s="5">
        <v>43683</v>
      </c>
      <c r="W1446" s="5">
        <v>41795</v>
      </c>
      <c r="X1446" s="1">
        <v>495000</v>
      </c>
      <c r="Y1446" s="1">
        <v>495000</v>
      </c>
      <c r="Z1446" s="5">
        <v>41842</v>
      </c>
      <c r="AA1446" s="1">
        <v>491790</v>
      </c>
      <c r="AB1446" s="1" t="s">
        <v>1256</v>
      </c>
      <c r="AC1446" s="5">
        <v>42019</v>
      </c>
      <c r="AF1446" s="1">
        <v>10032</v>
      </c>
      <c r="AJ1446" s="1">
        <v>1896</v>
      </c>
      <c r="AL1446" s="1">
        <v>0</v>
      </c>
    </row>
    <row r="1447" spans="1:38" x14ac:dyDescent="0.2">
      <c r="A1447" s="2" t="str">
        <f>HYPERLINK("https://www.compass.com/listing/505-west-173rd-street-unit-gf-manhattan-ny-10032/4852319086790574721/","505 W 173rd St, Unit GF")</f>
        <v>505 W 173rd St, Unit GF</v>
      </c>
      <c r="B1447" s="1" t="s">
        <v>1255</v>
      </c>
      <c r="C1447" s="1" t="s">
        <v>1184</v>
      </c>
      <c r="D1447" s="1" t="s">
        <v>41</v>
      </c>
      <c r="E1447" s="3">
        <v>495000</v>
      </c>
      <c r="F1447" s="1">
        <v>557.43243243243205</v>
      </c>
      <c r="G1447" s="1">
        <v>4</v>
      </c>
      <c r="H1447" s="1">
        <v>2</v>
      </c>
      <c r="I1447" s="1">
        <v>1</v>
      </c>
      <c r="J1447" s="1">
        <v>1</v>
      </c>
      <c r="K1447" s="1">
        <v>1</v>
      </c>
      <c r="M1447" s="1">
        <v>888</v>
      </c>
      <c r="N1447" s="1">
        <v>700</v>
      </c>
      <c r="O1447" s="1">
        <v>740</v>
      </c>
      <c r="P1447" s="1">
        <v>40</v>
      </c>
      <c r="Q1447" s="1" t="s">
        <v>42</v>
      </c>
      <c r="S1447" s="1" t="s">
        <v>42</v>
      </c>
      <c r="T1447" s="1" t="s">
        <v>153</v>
      </c>
      <c r="U1447" s="1">
        <v>383</v>
      </c>
      <c r="V1447" s="5">
        <v>43665</v>
      </c>
      <c r="W1447" s="5">
        <v>41795</v>
      </c>
      <c r="X1447" s="1">
        <v>495000</v>
      </c>
      <c r="Y1447" s="1">
        <v>495000</v>
      </c>
      <c r="AA1447" s="1">
        <v>495000</v>
      </c>
      <c r="AB1447" s="1" t="s">
        <v>177</v>
      </c>
      <c r="AC1447" s="5">
        <v>42178</v>
      </c>
      <c r="AF1447" s="1">
        <v>10032</v>
      </c>
      <c r="AI1447" s="1" t="s">
        <v>147</v>
      </c>
      <c r="AJ1447" s="1">
        <v>1896</v>
      </c>
      <c r="AL1447" s="1">
        <v>0</v>
      </c>
    </row>
    <row r="1448" spans="1:38" x14ac:dyDescent="0.2">
      <c r="A1448" s="2" t="str">
        <f>HYPERLINK("https://www.compass.com/listing/505-west-173rd-street-unit-parlor-manhattan-ny-10032/4852318896427894977/","505 W 173rd St, Unit PARLOR")</f>
        <v>505 W 173rd St, Unit PARLOR</v>
      </c>
      <c r="B1448" s="1" t="s">
        <v>1255</v>
      </c>
      <c r="C1448" s="1" t="s">
        <v>1184</v>
      </c>
      <c r="D1448" s="1" t="s">
        <v>41</v>
      </c>
      <c r="E1448" s="3">
        <v>485000</v>
      </c>
      <c r="F1448" s="1">
        <v>571.26030624263797</v>
      </c>
      <c r="G1448" s="1">
        <v>4</v>
      </c>
      <c r="H1448" s="1">
        <v>2</v>
      </c>
      <c r="I1448" s="1">
        <v>1</v>
      </c>
      <c r="J1448" s="1">
        <v>1.5</v>
      </c>
      <c r="K1448" s="1">
        <v>1</v>
      </c>
      <c r="L1448" s="1">
        <v>1</v>
      </c>
      <c r="M1448" s="1">
        <v>849</v>
      </c>
      <c r="N1448" s="1">
        <v>700</v>
      </c>
      <c r="O1448" s="1">
        <v>740</v>
      </c>
      <c r="P1448" s="1">
        <v>40</v>
      </c>
      <c r="Q1448" s="1" t="s">
        <v>42</v>
      </c>
      <c r="S1448" s="1" t="s">
        <v>42</v>
      </c>
      <c r="T1448" s="1" t="s">
        <v>153</v>
      </c>
      <c r="U1448" s="1">
        <v>84</v>
      </c>
      <c r="V1448" s="5">
        <v>43665</v>
      </c>
      <c r="W1448" s="5">
        <v>41972</v>
      </c>
      <c r="X1448" s="1">
        <v>495000</v>
      </c>
      <c r="Y1448" s="1">
        <v>495000</v>
      </c>
      <c r="Z1448" s="5">
        <v>42075</v>
      </c>
      <c r="AA1448" s="1">
        <v>485000</v>
      </c>
      <c r="AB1448" s="1" t="s">
        <v>177</v>
      </c>
      <c r="AC1448" s="5">
        <v>42136</v>
      </c>
      <c r="AF1448" s="1">
        <v>10032</v>
      </c>
      <c r="AJ1448" s="1">
        <v>1896</v>
      </c>
      <c r="AL1448" s="1">
        <v>0</v>
      </c>
    </row>
    <row r="1449" spans="1:38" x14ac:dyDescent="0.2">
      <c r="A1449" s="2" t="str">
        <f>HYPERLINK("https://www.compass.com/listing/427-west-154th-street-unit-3-manhattan-ny-10032/29434547561092225/","427 W 154th St, Unit 3")</f>
        <v>427 W 154th St, Unit 3</v>
      </c>
      <c r="B1449" s="2" t="str">
        <f>HYPERLINK("https://www.compass.com/building/427-w-154th-st-manhattan-ny-10032/282005560126208341/","427 W 154th St")</f>
        <v>427 W 154th St</v>
      </c>
      <c r="C1449" s="1" t="s">
        <v>82</v>
      </c>
      <c r="D1449" s="1" t="s">
        <v>41</v>
      </c>
      <c r="E1449" s="3">
        <v>100000</v>
      </c>
      <c r="F1449" s="1">
        <v>114.942528735632</v>
      </c>
      <c r="H1449" s="1">
        <v>2</v>
      </c>
      <c r="J1449" s="1">
        <v>2</v>
      </c>
      <c r="K1449" s="1">
        <v>2</v>
      </c>
      <c r="M1449" s="1">
        <v>870</v>
      </c>
      <c r="N1449" s="1">
        <v>503</v>
      </c>
      <c r="O1449" s="1">
        <v>638</v>
      </c>
      <c r="P1449" s="1">
        <v>135</v>
      </c>
      <c r="Q1449" s="1" t="s">
        <v>42</v>
      </c>
      <c r="S1449" s="1" t="s">
        <v>42</v>
      </c>
      <c r="T1449" s="1" t="s">
        <v>153</v>
      </c>
      <c r="AA1449" s="1">
        <v>100000</v>
      </c>
      <c r="AB1449" s="1" t="s">
        <v>1257</v>
      </c>
      <c r="AC1449" s="5">
        <v>43126</v>
      </c>
      <c r="AF1449" s="1">
        <v>10032</v>
      </c>
      <c r="AJ1449" s="1">
        <v>1985</v>
      </c>
      <c r="AL1449" s="1">
        <v>10</v>
      </c>
    </row>
    <row r="1450" spans="1:38" x14ac:dyDescent="0.2">
      <c r="A1450" s="2" t="str">
        <f>HYPERLINK("https://www.compass.com/listing/2457-frederick-douglass-boulevard-unit-4b-manhattan-ny-10027/340925573924542193/","2457 Frederick Douglass Blvd, Unit 4B")</f>
        <v>2457 Frederick Douglass Blvd, Unit 4B</v>
      </c>
      <c r="B1450" s="2" t="str">
        <f>HYPERLINK("https://www.compass.com/building/2457-frederick-douglass-blvd-manhattan-ny-10027/293531002213539157/","2457 Frederick Douglass Blvd")</f>
        <v>2457 Frederick Douglass Blvd</v>
      </c>
      <c r="C1450" s="1" t="s">
        <v>60</v>
      </c>
      <c r="D1450" s="1" t="s">
        <v>41</v>
      </c>
      <c r="E1450" s="3">
        <v>702500</v>
      </c>
      <c r="F1450" s="1">
        <v>997.86931818181802</v>
      </c>
      <c r="G1450" s="1">
        <v>3</v>
      </c>
      <c r="H1450" s="1">
        <v>1</v>
      </c>
      <c r="I1450" s="1">
        <v>1</v>
      </c>
      <c r="J1450" s="1">
        <v>1</v>
      </c>
      <c r="K1450" s="1">
        <v>1</v>
      </c>
      <c r="M1450" s="1">
        <v>704</v>
      </c>
      <c r="N1450" s="1">
        <v>416</v>
      </c>
      <c r="O1450" s="1">
        <v>553</v>
      </c>
      <c r="P1450" s="1">
        <v>137</v>
      </c>
      <c r="Q1450" s="1" t="s">
        <v>42</v>
      </c>
      <c r="S1450" s="1" t="s">
        <v>42</v>
      </c>
      <c r="T1450" s="1" t="s">
        <v>153</v>
      </c>
      <c r="V1450" s="5">
        <v>44336</v>
      </c>
      <c r="W1450" s="5">
        <v>43721</v>
      </c>
      <c r="X1450" s="1">
        <v>727000</v>
      </c>
      <c r="Y1450" s="1">
        <v>727000</v>
      </c>
      <c r="Z1450" s="5">
        <v>43721</v>
      </c>
      <c r="AA1450" s="1">
        <v>702500</v>
      </c>
      <c r="AB1450" s="1" t="s">
        <v>224</v>
      </c>
      <c r="AC1450" s="5">
        <v>44201</v>
      </c>
      <c r="AF1450" s="1">
        <v>10027</v>
      </c>
      <c r="AI1450" s="1" t="s">
        <v>1258</v>
      </c>
      <c r="AJ1450" s="1">
        <v>2019</v>
      </c>
      <c r="AK1450" s="1" t="s">
        <v>359</v>
      </c>
      <c r="AL1450" s="1">
        <v>1</v>
      </c>
    </row>
    <row r="1451" spans="1:38" x14ac:dyDescent="0.2">
      <c r="A1451" s="2" t="str">
        <f>HYPERLINK("https://www.compass.com/listing/505-west-173rd-street-unit-1-manhattan-ny-10033/29435298249256929/","505 W 173rd St, Unit 1")</f>
        <v>505 W 173rd St, Unit 1</v>
      </c>
      <c r="B1451" s="1" t="s">
        <v>1255</v>
      </c>
      <c r="C1451" s="1" t="s">
        <v>1184</v>
      </c>
      <c r="D1451" s="1" t="s">
        <v>41</v>
      </c>
      <c r="E1451" s="3">
        <v>491790</v>
      </c>
      <c r="F1451" s="1">
        <v>563.97935779816498</v>
      </c>
      <c r="H1451" s="1">
        <v>2</v>
      </c>
      <c r="J1451" s="1">
        <v>1</v>
      </c>
      <c r="K1451" s="1">
        <v>1</v>
      </c>
      <c r="M1451" s="1">
        <v>872</v>
      </c>
      <c r="O1451" s="1">
        <v>17</v>
      </c>
      <c r="P1451" s="1">
        <v>17</v>
      </c>
      <c r="Q1451" s="1" t="s">
        <v>42</v>
      </c>
      <c r="S1451" s="1" t="s">
        <v>42</v>
      </c>
      <c r="T1451" s="1" t="s">
        <v>153</v>
      </c>
      <c r="AA1451" s="1">
        <v>491790</v>
      </c>
      <c r="AB1451" s="1" t="s">
        <v>1259</v>
      </c>
      <c r="AC1451" s="5">
        <v>42132</v>
      </c>
      <c r="AF1451" s="1">
        <v>10033</v>
      </c>
    </row>
    <row r="1452" spans="1:38" x14ac:dyDescent="0.2">
      <c r="A1452" s="2" t="str">
        <f>HYPERLINK("https://www.compass.com/listing/505-west-173rd-street-unit-1-manhattan-ny-10033/29435298551185569/","505 W 173rd St, Unit 1")</f>
        <v>505 W 173rd St, Unit 1</v>
      </c>
      <c r="B1452" s="1" t="s">
        <v>1255</v>
      </c>
      <c r="C1452" s="1" t="s">
        <v>1184</v>
      </c>
      <c r="D1452" s="1" t="s">
        <v>41</v>
      </c>
      <c r="E1452" s="3">
        <v>496860</v>
      </c>
      <c r="F1452" s="1">
        <v>569.79357798165097</v>
      </c>
      <c r="H1452" s="1">
        <v>2</v>
      </c>
      <c r="J1452" s="1">
        <v>1</v>
      </c>
      <c r="K1452" s="1">
        <v>1</v>
      </c>
      <c r="M1452" s="1">
        <v>872</v>
      </c>
      <c r="O1452" s="1">
        <v>17</v>
      </c>
      <c r="P1452" s="1">
        <v>17</v>
      </c>
      <c r="Q1452" s="1" t="s">
        <v>42</v>
      </c>
      <c r="S1452" s="1" t="s">
        <v>42</v>
      </c>
      <c r="T1452" s="1" t="s">
        <v>153</v>
      </c>
      <c r="AA1452" s="1">
        <v>496860</v>
      </c>
      <c r="AB1452" s="1" t="s">
        <v>1260</v>
      </c>
      <c r="AC1452" s="5">
        <v>42174</v>
      </c>
      <c r="AF1452" s="1">
        <v>10033</v>
      </c>
    </row>
    <row r="1453" spans="1:38" x14ac:dyDescent="0.2">
      <c r="A1453" s="2" t="str">
        <f>HYPERLINK("https://www.compass.com/listing/427-west-154th-street-unit-6-manhattan-ny-10032/29434548307674753/","427 W 154th St, Unit 6")</f>
        <v>427 W 154th St, Unit 6</v>
      </c>
      <c r="B1453" s="2" t="str">
        <f>HYPERLINK("https://www.compass.com/building/427-w-154th-st-manhattan-ny-10032/282005560126208341/","427 W 154th St")</f>
        <v>427 W 154th St</v>
      </c>
      <c r="C1453" s="1" t="s">
        <v>82</v>
      </c>
      <c r="D1453" s="1" t="s">
        <v>41</v>
      </c>
      <c r="E1453" s="3">
        <v>100000</v>
      </c>
      <c r="F1453" s="1">
        <v>116.822429906542</v>
      </c>
      <c r="H1453" s="1">
        <v>2</v>
      </c>
      <c r="J1453" s="1">
        <v>1</v>
      </c>
      <c r="K1453" s="1">
        <v>1</v>
      </c>
      <c r="M1453" s="1">
        <v>856</v>
      </c>
      <c r="N1453" s="1">
        <v>503.54</v>
      </c>
      <c r="O1453" s="1">
        <v>622.84</v>
      </c>
      <c r="P1453" s="1">
        <v>119.333333333333</v>
      </c>
      <c r="Q1453" s="1" t="s">
        <v>42</v>
      </c>
      <c r="S1453" s="1" t="s">
        <v>42</v>
      </c>
      <c r="T1453" s="1" t="s">
        <v>153</v>
      </c>
      <c r="AA1453" s="1">
        <v>100000</v>
      </c>
      <c r="AB1453" s="1" t="s">
        <v>1261</v>
      </c>
      <c r="AC1453" s="5">
        <v>43126</v>
      </c>
      <c r="AF1453" s="1">
        <v>10032</v>
      </c>
      <c r="AJ1453" s="1">
        <v>1985</v>
      </c>
      <c r="AL1453" s="1">
        <v>10</v>
      </c>
    </row>
    <row r="1454" spans="1:38" x14ac:dyDescent="0.2">
      <c r="A1454" s="2" t="str">
        <f>HYPERLINK("https://www.compass.com/listing/2457-frederick-douglass-boulevard-unit-3a-manhattan-ny-10027/282612786394038289/","2457 Frederick Douglass Blvd, Unit 3A")</f>
        <v>2457 Frederick Douglass Blvd, Unit 3A</v>
      </c>
      <c r="B1454" s="2" t="str">
        <f t="shared" ref="B1454:B1455" si="218">HYPERLINK("https://www.compass.com/building/2457-frederick-douglass-blvd-manhattan-ny-10027/293531002213539157/","2457 Frederick Douglass Blvd")</f>
        <v>2457 Frederick Douglass Blvd</v>
      </c>
      <c r="C1454" s="1" t="s">
        <v>60</v>
      </c>
      <c r="D1454" s="1" t="s">
        <v>41</v>
      </c>
      <c r="E1454" s="3">
        <v>625000</v>
      </c>
      <c r="F1454" s="1">
        <v>924.55621301775102</v>
      </c>
      <c r="G1454" s="1">
        <v>3</v>
      </c>
      <c r="H1454" s="1">
        <v>1</v>
      </c>
      <c r="I1454" s="1">
        <v>1</v>
      </c>
      <c r="J1454" s="1">
        <v>1</v>
      </c>
      <c r="K1454" s="1">
        <v>1</v>
      </c>
      <c r="M1454" s="1">
        <v>676</v>
      </c>
      <c r="N1454" s="1">
        <v>370</v>
      </c>
      <c r="O1454" s="1">
        <v>492</v>
      </c>
      <c r="P1454" s="1">
        <v>122</v>
      </c>
      <c r="Q1454" s="1" t="s">
        <v>42</v>
      </c>
      <c r="S1454" s="1" t="s">
        <v>42</v>
      </c>
      <c r="T1454" s="1" t="s">
        <v>153</v>
      </c>
      <c r="U1454" s="1">
        <v>43</v>
      </c>
      <c r="V1454" s="5">
        <v>44130</v>
      </c>
      <c r="W1454" s="5">
        <v>43641</v>
      </c>
      <c r="X1454" s="1">
        <v>635000</v>
      </c>
      <c r="Y1454" s="1">
        <v>635000</v>
      </c>
      <c r="Z1454" s="5">
        <v>44006</v>
      </c>
      <c r="AA1454" s="1">
        <v>625000</v>
      </c>
      <c r="AB1454" s="1" t="s">
        <v>1262</v>
      </c>
      <c r="AC1454" s="5">
        <v>44119</v>
      </c>
      <c r="AF1454" s="1">
        <v>10027</v>
      </c>
      <c r="AI1454" s="1" t="s">
        <v>1263</v>
      </c>
      <c r="AJ1454" s="1">
        <v>2019</v>
      </c>
      <c r="AK1454" s="1" t="s">
        <v>359</v>
      </c>
      <c r="AL1454" s="1">
        <v>1</v>
      </c>
    </row>
    <row r="1455" spans="1:38" x14ac:dyDescent="0.2">
      <c r="A1455" s="2" t="str">
        <f>HYPERLINK("https://www.compass.com/listing/2457-frederick-douglass-boulevard-unit-2a-manhattan-ny-10027/314265674456835969/","2457 Frederick Douglass Blvd, Unit 2A")</f>
        <v>2457 Frederick Douglass Blvd, Unit 2A</v>
      </c>
      <c r="B1455" s="2" t="str">
        <f t="shared" si="218"/>
        <v>2457 Frederick Douglass Blvd</v>
      </c>
      <c r="C1455" s="1" t="s">
        <v>60</v>
      </c>
      <c r="D1455" s="1" t="s">
        <v>41</v>
      </c>
      <c r="E1455" s="3">
        <v>630000</v>
      </c>
      <c r="F1455" s="1">
        <v>975.23219814241395</v>
      </c>
      <c r="G1455" s="1">
        <v>3</v>
      </c>
      <c r="H1455" s="1">
        <v>1</v>
      </c>
      <c r="I1455" s="1">
        <v>1</v>
      </c>
      <c r="J1455" s="1">
        <v>1</v>
      </c>
      <c r="K1455" s="1">
        <v>1</v>
      </c>
      <c r="M1455" s="1">
        <v>646</v>
      </c>
      <c r="N1455" s="1">
        <v>384</v>
      </c>
      <c r="O1455" s="1">
        <v>516</v>
      </c>
      <c r="P1455" s="1">
        <v>132</v>
      </c>
      <c r="Q1455" s="1" t="s">
        <v>42</v>
      </c>
      <c r="S1455" s="1" t="s">
        <v>42</v>
      </c>
      <c r="T1455" s="1" t="s">
        <v>153</v>
      </c>
      <c r="U1455" s="1">
        <v>138</v>
      </c>
      <c r="V1455" s="5">
        <v>44120</v>
      </c>
      <c r="W1455" s="5">
        <v>43684</v>
      </c>
      <c r="X1455" s="1">
        <v>622000</v>
      </c>
      <c r="Y1455" s="1">
        <v>622000</v>
      </c>
      <c r="AA1455" s="1">
        <v>630000</v>
      </c>
      <c r="AB1455" s="1" t="s">
        <v>220</v>
      </c>
      <c r="AC1455" s="5">
        <v>44118</v>
      </c>
      <c r="AF1455" s="1">
        <v>10027</v>
      </c>
      <c r="AI1455" s="1" t="s">
        <v>1258</v>
      </c>
      <c r="AJ1455" s="1">
        <v>2019</v>
      </c>
      <c r="AL1455" s="1">
        <v>1</v>
      </c>
    </row>
    <row r="1456" spans="1:38" x14ac:dyDescent="0.2">
      <c r="A1456" s="2" t="str">
        <f>HYPERLINK("https://www.compass.com/listing/449-west-162nd-street-unit-garden-manhattan-ny-10032/29519877362482913/","449 W 162nd St, Unit GARDEN")</f>
        <v>449 W 162nd St, Unit GARDEN</v>
      </c>
      <c r="B1456" s="2" t="str">
        <f>HYPERLINK("https://www.compass.com/building/449-w-162nd-st-manhattan-ny-10032/282005823302005173/","449 W 162nd St")</f>
        <v>449 W 162nd St</v>
      </c>
      <c r="C1456" s="1" t="s">
        <v>1184</v>
      </c>
      <c r="D1456" s="1" t="s">
        <v>41</v>
      </c>
      <c r="E1456" s="3">
        <v>997604</v>
      </c>
      <c r="F1456" s="1">
        <v>599.88229104028801</v>
      </c>
      <c r="G1456" s="1">
        <v>5</v>
      </c>
      <c r="H1456" s="1">
        <v>2</v>
      </c>
      <c r="I1456" s="1">
        <v>3</v>
      </c>
      <c r="J1456" s="1">
        <v>2.5</v>
      </c>
      <c r="K1456" s="1">
        <v>2</v>
      </c>
      <c r="L1456" s="1">
        <v>1</v>
      </c>
      <c r="M1456" s="4">
        <v>1663</v>
      </c>
      <c r="N1456" s="1">
        <v>448</v>
      </c>
      <c r="O1456" s="1">
        <v>873</v>
      </c>
      <c r="P1456" s="1">
        <v>425</v>
      </c>
      <c r="Q1456" s="1" t="s">
        <v>1242</v>
      </c>
      <c r="R1456" s="1" t="s">
        <v>1248</v>
      </c>
      <c r="S1456" s="1" t="s">
        <v>1249</v>
      </c>
      <c r="T1456" s="1" t="s">
        <v>153</v>
      </c>
      <c r="V1456" s="5">
        <v>43694</v>
      </c>
      <c r="W1456" s="5">
        <v>43543</v>
      </c>
      <c r="X1456" s="1">
        <v>989000</v>
      </c>
      <c r="Y1456" s="1">
        <v>989000</v>
      </c>
      <c r="Z1456" s="5">
        <v>43543</v>
      </c>
      <c r="AA1456" s="1">
        <v>997604.25</v>
      </c>
      <c r="AB1456" s="1" t="s">
        <v>1264</v>
      </c>
      <c r="AC1456" s="5">
        <v>43615</v>
      </c>
      <c r="AF1456" s="1">
        <v>10032</v>
      </c>
      <c r="AG1456" s="1" t="s">
        <v>1251</v>
      </c>
      <c r="AI1456" s="1" t="s">
        <v>1265</v>
      </c>
      <c r="AJ1456" s="1">
        <v>1905</v>
      </c>
      <c r="AL1456" s="1">
        <v>4</v>
      </c>
    </row>
    <row r="1457" spans="1:38" x14ac:dyDescent="0.2">
      <c r="A1457" s="2" t="str">
        <f>HYPERLINK("https://www.compass.com/listing/505-west-173rd-street-unit-3-manhattan-ny-10032/4852273672779478801/","505 W 173rd St, Unit 3")</f>
        <v>505 W 173rd St, Unit 3</v>
      </c>
      <c r="B1457" s="1" t="s">
        <v>1255</v>
      </c>
      <c r="C1457" s="1" t="s">
        <v>1184</v>
      </c>
      <c r="D1457" s="1" t="s">
        <v>41</v>
      </c>
      <c r="E1457" s="3">
        <v>495000</v>
      </c>
      <c r="F1457" s="1">
        <v>602.18978102189703</v>
      </c>
      <c r="G1457" s="1">
        <v>4</v>
      </c>
      <c r="H1457" s="1">
        <v>2</v>
      </c>
      <c r="I1457" s="1">
        <v>1</v>
      </c>
      <c r="J1457" s="1">
        <v>1</v>
      </c>
      <c r="K1457" s="1">
        <v>1</v>
      </c>
      <c r="M1457" s="1">
        <v>822</v>
      </c>
      <c r="N1457" s="1">
        <v>700</v>
      </c>
      <c r="O1457" s="1">
        <v>740</v>
      </c>
      <c r="P1457" s="1">
        <v>40</v>
      </c>
      <c r="Q1457" s="1" t="s">
        <v>42</v>
      </c>
      <c r="S1457" s="1" t="s">
        <v>42</v>
      </c>
      <c r="T1457" s="1" t="s">
        <v>153</v>
      </c>
      <c r="U1457" s="1">
        <v>33</v>
      </c>
      <c r="V1457" s="5">
        <v>43684</v>
      </c>
      <c r="W1457" s="5">
        <v>42137</v>
      </c>
      <c r="X1457" s="1">
        <v>495000</v>
      </c>
      <c r="Y1457" s="1">
        <v>495000</v>
      </c>
      <c r="Z1457" s="5">
        <v>42170</v>
      </c>
      <c r="AA1457" s="1">
        <v>495000</v>
      </c>
      <c r="AB1457" s="1" t="s">
        <v>177</v>
      </c>
      <c r="AC1457" s="5">
        <v>42182</v>
      </c>
      <c r="AF1457" s="1">
        <v>10032</v>
      </c>
      <c r="AJ1457" s="1">
        <v>1896</v>
      </c>
      <c r="AL1457" s="1">
        <v>0</v>
      </c>
    </row>
    <row r="1458" spans="1:38" x14ac:dyDescent="0.2">
      <c r="A1458" s="2" t="str">
        <f>HYPERLINK("https://www.compass.com/listing/105-bennett-avenue-unit-46b-manhattan-ny-10033/101247909508463073/","105 Bennett Ave, Unit 46B")</f>
        <v>105 Bennett Ave, Unit 46B</v>
      </c>
      <c r="B1458" s="2" t="str">
        <f t="shared" ref="B1458:B1459" si="219">HYPERLINK("https://www.compass.com/building/105-bennett-ave-manhattan-ny-10033/282010034911706389/","105 Bennett Ave")</f>
        <v>105 Bennett Ave</v>
      </c>
      <c r="C1458" s="1" t="s">
        <v>122</v>
      </c>
      <c r="D1458" s="1" t="s">
        <v>41</v>
      </c>
      <c r="E1458" s="3">
        <v>740000</v>
      </c>
      <c r="F1458" s="1">
        <v>667.26780883678896</v>
      </c>
      <c r="G1458" s="1">
        <v>4</v>
      </c>
      <c r="H1458" s="1">
        <v>2</v>
      </c>
      <c r="I1458" s="1">
        <v>2</v>
      </c>
      <c r="J1458" s="1">
        <v>2</v>
      </c>
      <c r="K1458" s="1">
        <v>2</v>
      </c>
      <c r="M1458" s="4">
        <v>1109</v>
      </c>
      <c r="N1458" s="1">
        <v>729</v>
      </c>
      <c r="O1458" s="1">
        <v>1143</v>
      </c>
      <c r="P1458" s="1">
        <v>414</v>
      </c>
      <c r="Q1458" s="1" t="s">
        <v>42</v>
      </c>
      <c r="S1458" s="1" t="s">
        <v>42</v>
      </c>
      <c r="T1458" s="1" t="s">
        <v>153</v>
      </c>
      <c r="U1458" s="1">
        <v>20</v>
      </c>
      <c r="V1458" s="5">
        <v>43631</v>
      </c>
      <c r="W1458" s="5">
        <v>43392</v>
      </c>
      <c r="X1458" s="1">
        <v>760000</v>
      </c>
      <c r="Y1458" s="1">
        <v>760000</v>
      </c>
      <c r="Z1458" s="5">
        <v>43412</v>
      </c>
      <c r="AA1458" s="1">
        <v>740000</v>
      </c>
      <c r="AB1458" s="1" t="s">
        <v>1266</v>
      </c>
      <c r="AC1458" s="5">
        <v>43522</v>
      </c>
      <c r="AF1458" s="1">
        <v>10033</v>
      </c>
      <c r="AJ1458" s="1">
        <v>1939</v>
      </c>
      <c r="AL1458" s="1">
        <v>65</v>
      </c>
    </row>
    <row r="1459" spans="1:38" x14ac:dyDescent="0.2">
      <c r="A1459" s="2" t="str">
        <f>HYPERLINK("https://www.compass.com/listing/105-bennett-avenue-unit-66b-manhattan-ny-10033/19476600856861489/","105 Bennett Ave, Unit 66B")</f>
        <v>105 Bennett Ave, Unit 66B</v>
      </c>
      <c r="B1459" s="2" t="str">
        <f t="shared" si="219"/>
        <v>105 Bennett Ave</v>
      </c>
      <c r="C1459" s="1" t="s">
        <v>122</v>
      </c>
      <c r="D1459" s="1" t="s">
        <v>41</v>
      </c>
      <c r="E1459" s="3">
        <v>755000</v>
      </c>
      <c r="F1459" s="1">
        <v>680.79350766456196</v>
      </c>
      <c r="G1459" s="1">
        <v>4</v>
      </c>
      <c r="H1459" s="1">
        <v>2</v>
      </c>
      <c r="I1459" s="1">
        <v>2</v>
      </c>
      <c r="J1459" s="1">
        <v>2</v>
      </c>
      <c r="K1459" s="1">
        <v>2</v>
      </c>
      <c r="M1459" s="4">
        <v>1109</v>
      </c>
      <c r="N1459" s="1">
        <v>734</v>
      </c>
      <c r="O1459" s="1">
        <v>1150</v>
      </c>
      <c r="P1459" s="1">
        <v>416</v>
      </c>
      <c r="Q1459" s="1" t="s">
        <v>42</v>
      </c>
      <c r="S1459" s="1" t="s">
        <v>42</v>
      </c>
      <c r="T1459" s="1" t="s">
        <v>153</v>
      </c>
      <c r="U1459" s="1">
        <v>195</v>
      </c>
      <c r="V1459" s="5">
        <v>43626</v>
      </c>
      <c r="W1459" s="5">
        <v>43197</v>
      </c>
      <c r="X1459" s="1">
        <v>800000</v>
      </c>
      <c r="Y1459" s="1">
        <v>775000</v>
      </c>
      <c r="Z1459" s="5">
        <v>43392</v>
      </c>
      <c r="AA1459" s="1">
        <v>755000</v>
      </c>
      <c r="AB1459" s="1" t="s">
        <v>1267</v>
      </c>
      <c r="AC1459" s="5">
        <v>43447</v>
      </c>
      <c r="AF1459" s="1">
        <v>10033</v>
      </c>
      <c r="AJ1459" s="1">
        <v>1939</v>
      </c>
      <c r="AL1459" s="1">
        <v>65</v>
      </c>
    </row>
    <row r="1460" spans="1:38" x14ac:dyDescent="0.2">
      <c r="A1460" s="2" t="str">
        <f>HYPERLINK("https://www.compass.com/listing/155-west-126th-street-unit-1a-manhattan-ny-10027/455119875378165025/","155 W 126th St, Unit 1A")</f>
        <v>155 W 126th St, Unit 1A</v>
      </c>
      <c r="B1460" s="2" t="str">
        <f>HYPERLINK("https://www.compass.com/building/155-w-126th-st-manhattan-ny-10027/281979223730651925/","155 W 126th St")</f>
        <v>155 W 126th St</v>
      </c>
      <c r="C1460" s="1" t="s">
        <v>141</v>
      </c>
      <c r="D1460" s="1" t="s">
        <v>41</v>
      </c>
      <c r="E1460" s="3">
        <v>957155</v>
      </c>
      <c r="F1460" s="1">
        <v>1057.62983425414</v>
      </c>
      <c r="H1460" s="1">
        <v>2</v>
      </c>
      <c r="J1460" s="1">
        <v>2</v>
      </c>
      <c r="K1460" s="1">
        <v>2</v>
      </c>
      <c r="M1460" s="1">
        <v>905</v>
      </c>
      <c r="N1460" s="1">
        <v>335.4</v>
      </c>
      <c r="O1460" s="1">
        <v>961.78</v>
      </c>
      <c r="P1460" s="1">
        <v>626.41666666666595</v>
      </c>
      <c r="Q1460" s="1" t="s">
        <v>42</v>
      </c>
      <c r="S1460" s="1" t="s">
        <v>42</v>
      </c>
      <c r="T1460" s="1" t="s">
        <v>153</v>
      </c>
      <c r="AA1460" s="1">
        <v>957155</v>
      </c>
      <c r="AB1460" s="1" t="s">
        <v>1268</v>
      </c>
      <c r="AC1460" s="5">
        <v>42394</v>
      </c>
      <c r="AF1460" s="1">
        <v>10027</v>
      </c>
      <c r="AI1460" s="1" t="s">
        <v>107</v>
      </c>
      <c r="AJ1460" s="1">
        <v>1910</v>
      </c>
      <c r="AL1460" s="1">
        <v>10</v>
      </c>
    </row>
    <row r="1461" spans="1:38" x14ac:dyDescent="0.2">
      <c r="A1461" s="2" t="str">
        <f>HYPERLINK("https://www.compass.com/listing/105-bennett-avenue-unit-51a-manhattan-ny-10033/29436871583061617/","105 Bennett Ave, Unit 51A")</f>
        <v>105 Bennett Ave, Unit 51A</v>
      </c>
      <c r="B1461" s="2" t="str">
        <f>HYPERLINK("https://www.compass.com/building/105-bennett-ave-manhattan-ny-10033/282010034911706389/","105 Bennett Ave")</f>
        <v>105 Bennett Ave</v>
      </c>
      <c r="C1461" s="1" t="s">
        <v>122</v>
      </c>
      <c r="D1461" s="1" t="s">
        <v>41</v>
      </c>
      <c r="E1461" s="3">
        <v>960000</v>
      </c>
      <c r="F1461" s="1">
        <v>668.05845511482198</v>
      </c>
      <c r="G1461" s="1">
        <v>5</v>
      </c>
      <c r="H1461" s="1">
        <v>3</v>
      </c>
      <c r="I1461" s="1">
        <v>2</v>
      </c>
      <c r="J1461" s="1">
        <v>2</v>
      </c>
      <c r="M1461" s="4">
        <v>1437</v>
      </c>
      <c r="N1461" s="1">
        <v>944</v>
      </c>
      <c r="O1461" s="1">
        <v>1386</v>
      </c>
      <c r="P1461" s="1">
        <v>442</v>
      </c>
      <c r="Q1461" s="1" t="s">
        <v>42</v>
      </c>
      <c r="S1461" s="1" t="s">
        <v>42</v>
      </c>
      <c r="T1461" s="1" t="s">
        <v>153</v>
      </c>
      <c r="U1461" s="1">
        <v>233</v>
      </c>
      <c r="V1461" s="5">
        <v>43626</v>
      </c>
      <c r="W1461" s="5">
        <v>42439</v>
      </c>
      <c r="X1461" s="1">
        <v>1042000</v>
      </c>
      <c r="Y1461" s="1">
        <v>975000</v>
      </c>
      <c r="Z1461" s="5">
        <v>42672</v>
      </c>
      <c r="AA1461" s="1">
        <v>960000</v>
      </c>
      <c r="AB1461" s="1" t="s">
        <v>1269</v>
      </c>
      <c r="AC1461" s="5">
        <v>42748</v>
      </c>
      <c r="AF1461" s="1">
        <v>10033</v>
      </c>
      <c r="AJ1461" s="1">
        <v>1939</v>
      </c>
      <c r="AL1461" s="1">
        <v>65</v>
      </c>
    </row>
    <row r="1462" spans="1:38" x14ac:dyDescent="0.2">
      <c r="A1462" s="2" t="str">
        <f>HYPERLINK("https://www.compass.com/listing/543-west-122nd-street-unit-7f-manhattan-ny-10027/795632028552809601/","543 W 122nd St, Unit 7F")</f>
        <v>543 W 122nd St, Unit 7F</v>
      </c>
      <c r="B1462" s="2" t="str">
        <f>HYPERLINK("https://www.compass.com/building/vandewater-manhattan-ny/282058681657361477/","Vandewater")</f>
        <v>Vandewater</v>
      </c>
      <c r="C1462" s="1" t="s">
        <v>95</v>
      </c>
      <c r="D1462" s="1" t="s">
        <v>41</v>
      </c>
      <c r="E1462" s="3">
        <v>970000</v>
      </c>
      <c r="F1462" s="1">
        <v>1789.66789667896</v>
      </c>
      <c r="G1462" s="1">
        <v>2</v>
      </c>
      <c r="H1462" s="1" t="s">
        <v>94</v>
      </c>
      <c r="I1462" s="1">
        <v>1</v>
      </c>
      <c r="J1462" s="1">
        <v>1</v>
      </c>
      <c r="K1462" s="1">
        <v>1</v>
      </c>
      <c r="M1462" s="1">
        <v>542</v>
      </c>
      <c r="N1462" s="1">
        <v>539</v>
      </c>
      <c r="O1462" s="1">
        <v>1186</v>
      </c>
      <c r="P1462" s="1">
        <v>647</v>
      </c>
      <c r="Q1462" s="1" t="s">
        <v>42</v>
      </c>
      <c r="S1462" s="1" t="s">
        <v>42</v>
      </c>
      <c r="T1462" s="1" t="s">
        <v>153</v>
      </c>
      <c r="V1462" s="5">
        <v>44358</v>
      </c>
      <c r="W1462" s="5">
        <v>44349</v>
      </c>
      <c r="X1462" s="1">
        <v>980000</v>
      </c>
      <c r="Y1462" s="1">
        <v>980000</v>
      </c>
      <c r="Z1462" s="5">
        <v>44350</v>
      </c>
      <c r="AA1462" s="1">
        <v>970000</v>
      </c>
      <c r="AB1462" s="1" t="s">
        <v>1270</v>
      </c>
      <c r="AC1462" s="5">
        <v>44356</v>
      </c>
      <c r="AF1462" s="1">
        <v>10027</v>
      </c>
      <c r="AI1462" s="1" t="s">
        <v>96</v>
      </c>
      <c r="AJ1462" s="1">
        <v>2019</v>
      </c>
      <c r="AK1462" s="1" t="s">
        <v>46</v>
      </c>
      <c r="AL1462" s="1">
        <v>183</v>
      </c>
    </row>
    <row r="1463" spans="1:38" x14ac:dyDescent="0.2">
      <c r="A1463" s="2" t="str">
        <f>HYPERLINK("https://www.compass.com/listing/105-bennett-avenue-unit-16b-manhattan-ny-10033/29436867581694145/","105 Bennett Ave, Unit 16B")</f>
        <v>105 Bennett Ave, Unit 16B</v>
      </c>
      <c r="B1463" s="2" t="str">
        <f t="shared" ref="B1463:B1464" si="220">HYPERLINK("https://www.compass.com/building/105-bennett-ave-manhattan-ny-10033/282010034911706389/","105 Bennett Ave")</f>
        <v>105 Bennett Ave</v>
      </c>
      <c r="C1463" s="1" t="s">
        <v>122</v>
      </c>
      <c r="D1463" s="1" t="s">
        <v>41</v>
      </c>
      <c r="E1463" s="3">
        <v>660000</v>
      </c>
      <c r="F1463" s="1">
        <v>595.13074842200103</v>
      </c>
      <c r="G1463" s="1">
        <v>4</v>
      </c>
      <c r="H1463" s="1">
        <v>2</v>
      </c>
      <c r="I1463" s="1">
        <v>1</v>
      </c>
      <c r="J1463" s="1">
        <v>1</v>
      </c>
      <c r="M1463" s="4">
        <v>1109</v>
      </c>
      <c r="N1463" s="1">
        <v>709</v>
      </c>
      <c r="O1463" s="1">
        <v>1041</v>
      </c>
      <c r="P1463" s="1">
        <v>332</v>
      </c>
      <c r="Q1463" s="1" t="s">
        <v>42</v>
      </c>
      <c r="S1463" s="1" t="s">
        <v>42</v>
      </c>
      <c r="T1463" s="1" t="s">
        <v>153</v>
      </c>
      <c r="U1463" s="1">
        <v>39</v>
      </c>
      <c r="V1463" s="5">
        <v>43626</v>
      </c>
      <c r="W1463" s="5">
        <v>42790</v>
      </c>
      <c r="X1463" s="1">
        <v>675000</v>
      </c>
      <c r="Y1463" s="1">
        <v>675000</v>
      </c>
      <c r="Z1463" s="5">
        <v>42829</v>
      </c>
      <c r="AA1463" s="1">
        <v>660000</v>
      </c>
      <c r="AB1463" s="1" t="s">
        <v>1271</v>
      </c>
      <c r="AC1463" s="5">
        <v>42898</v>
      </c>
      <c r="AF1463" s="1">
        <v>10033</v>
      </c>
      <c r="AJ1463" s="1">
        <v>1939</v>
      </c>
      <c r="AL1463" s="1">
        <v>65</v>
      </c>
    </row>
    <row r="1464" spans="1:38" x14ac:dyDescent="0.2">
      <c r="A1464" s="2" t="str">
        <f>HYPERLINK("https://www.compass.com/listing/105-bennett-avenue-unit-45a-manhattan-ny-10033/29436870693807713/","105 Bennett Ave, Unit 45A")</f>
        <v>105 Bennett Ave, Unit 45A</v>
      </c>
      <c r="B1464" s="2" t="str">
        <f t="shared" si="220"/>
        <v>105 Bennett Ave</v>
      </c>
      <c r="C1464" s="1" t="s">
        <v>122</v>
      </c>
      <c r="D1464" s="1" t="s">
        <v>41</v>
      </c>
      <c r="E1464" s="3">
        <v>775000</v>
      </c>
      <c r="F1464" s="1">
        <v>623.99355877616699</v>
      </c>
      <c r="G1464" s="1">
        <v>4</v>
      </c>
      <c r="H1464" s="1">
        <v>2</v>
      </c>
      <c r="I1464" s="1">
        <v>1</v>
      </c>
      <c r="J1464" s="1">
        <v>1</v>
      </c>
      <c r="M1464" s="4">
        <v>1242</v>
      </c>
      <c r="N1464" s="1">
        <v>810</v>
      </c>
      <c r="O1464" s="1">
        <v>1189</v>
      </c>
      <c r="P1464" s="1">
        <v>379</v>
      </c>
      <c r="Q1464" s="1" t="s">
        <v>42</v>
      </c>
      <c r="S1464" s="1" t="s">
        <v>42</v>
      </c>
      <c r="T1464" s="1" t="s">
        <v>153</v>
      </c>
      <c r="U1464" s="1">
        <v>163</v>
      </c>
      <c r="V1464" s="5">
        <v>43668</v>
      </c>
      <c r="W1464" s="5">
        <v>42438</v>
      </c>
      <c r="X1464" s="1">
        <v>882000</v>
      </c>
      <c r="Y1464" s="1">
        <v>795000</v>
      </c>
      <c r="Z1464" s="5">
        <v>42601</v>
      </c>
      <c r="AA1464" s="1">
        <v>775000</v>
      </c>
      <c r="AB1464" s="1" t="s">
        <v>1272</v>
      </c>
      <c r="AC1464" s="5">
        <v>42809</v>
      </c>
      <c r="AF1464" s="1">
        <v>10033</v>
      </c>
      <c r="AJ1464" s="1">
        <v>1939</v>
      </c>
      <c r="AL1464" s="1">
        <v>65</v>
      </c>
    </row>
    <row r="1465" spans="1:38" x14ac:dyDescent="0.2">
      <c r="A1465" s="2" t="str">
        <f>HYPERLINK("https://www.compass.com/listing/57-west-127th-street-unit-1-manhattan-ny-10027/79453151735924257/","57 W 127th St, Unit 1")</f>
        <v>57 W 127th St, Unit 1</v>
      </c>
      <c r="B1465" s="2" t="str">
        <f>HYPERLINK("https://www.compass.com/building/san-giorgio-manhattan-ny/281983292037763781/","San Giorgio")</f>
        <v>San Giorgio</v>
      </c>
      <c r="C1465" s="1" t="s">
        <v>141</v>
      </c>
      <c r="D1465" s="1" t="s">
        <v>41</v>
      </c>
      <c r="E1465" s="3">
        <v>534581</v>
      </c>
      <c r="F1465" s="1">
        <v>591.35066371681398</v>
      </c>
      <c r="H1465" s="1">
        <v>2</v>
      </c>
      <c r="J1465" s="1">
        <v>1.5</v>
      </c>
      <c r="M1465" s="1">
        <v>904</v>
      </c>
      <c r="N1465" s="1">
        <v>638</v>
      </c>
      <c r="O1465" s="1">
        <v>1384</v>
      </c>
      <c r="P1465" s="1">
        <v>746</v>
      </c>
      <c r="Q1465" s="1" t="s">
        <v>42</v>
      </c>
      <c r="S1465" s="1" t="s">
        <v>42</v>
      </c>
      <c r="T1465" s="1" t="s">
        <v>153</v>
      </c>
      <c r="AA1465" s="1">
        <v>534581</v>
      </c>
      <c r="AB1465" s="1" t="s">
        <v>1273</v>
      </c>
      <c r="AC1465" s="5">
        <v>42333</v>
      </c>
      <c r="AF1465" s="1">
        <v>10027</v>
      </c>
      <c r="AJ1465" s="1">
        <v>1899</v>
      </c>
      <c r="AL1465" s="1">
        <v>6</v>
      </c>
    </row>
    <row r="1466" spans="1:38" x14ac:dyDescent="0.2">
      <c r="A1466" s="2" t="str">
        <f>HYPERLINK("https://www.compass.com/listing/155-west-126th-street-unit-1b-manhattan-ny-10027/29514445873034481/","155 W 126th St, Unit 1B")</f>
        <v>155 W 126th St, Unit 1B</v>
      </c>
      <c r="B1466" s="2" t="str">
        <f t="shared" ref="B1466:B1467" si="221">HYPERLINK("https://www.compass.com/building/155-w-126th-st-manhattan-ny-10027/281979223730651925/","155 W 126th St")</f>
        <v>155 W 126th St</v>
      </c>
      <c r="C1466" s="1" t="s">
        <v>141</v>
      </c>
      <c r="D1466" s="1" t="s">
        <v>41</v>
      </c>
      <c r="E1466" s="3">
        <v>1079000</v>
      </c>
      <c r="F1466" s="1">
        <v>1079</v>
      </c>
      <c r="H1466" s="1">
        <v>2</v>
      </c>
      <c r="J1466" s="1">
        <v>2</v>
      </c>
      <c r="M1466" s="4">
        <v>1000</v>
      </c>
      <c r="N1466" s="1">
        <v>377</v>
      </c>
      <c r="O1466" s="1">
        <v>860</v>
      </c>
      <c r="P1466" s="1">
        <v>483</v>
      </c>
      <c r="Q1466" s="1" t="s">
        <v>42</v>
      </c>
      <c r="S1466" s="1" t="s">
        <v>42</v>
      </c>
      <c r="T1466" s="1" t="s">
        <v>153</v>
      </c>
      <c r="AA1466" s="1">
        <v>1079000</v>
      </c>
      <c r="AB1466" s="1" t="s">
        <v>1274</v>
      </c>
      <c r="AC1466" s="5">
        <v>42396</v>
      </c>
      <c r="AF1466" s="1">
        <v>10027</v>
      </c>
      <c r="AI1466" s="1" t="s">
        <v>107</v>
      </c>
      <c r="AJ1466" s="1">
        <v>1910</v>
      </c>
      <c r="AL1466" s="1">
        <v>10</v>
      </c>
    </row>
    <row r="1467" spans="1:38" x14ac:dyDescent="0.2">
      <c r="A1467" s="2" t="str">
        <f>HYPERLINK("https://www.compass.com/listing/155-west-126th-street-unit-2b-manhattan-ny-10027/567770068359428121/","155 W 126th St, Unit 2B")</f>
        <v>155 W 126th St, Unit 2B</v>
      </c>
      <c r="B1467" s="2" t="str">
        <f t="shared" si="221"/>
        <v>155 W 126th St</v>
      </c>
      <c r="C1467" s="1" t="s">
        <v>141</v>
      </c>
      <c r="D1467" s="1" t="s">
        <v>41</v>
      </c>
      <c r="E1467" s="3">
        <v>1017232</v>
      </c>
      <c r="F1467" s="1">
        <v>1007.16014851485</v>
      </c>
      <c r="H1467" s="1">
        <v>2</v>
      </c>
      <c r="M1467" s="4">
        <v>1010</v>
      </c>
      <c r="N1467" s="1">
        <v>373</v>
      </c>
      <c r="O1467" s="1">
        <v>877</v>
      </c>
      <c r="P1467" s="1">
        <v>504</v>
      </c>
      <c r="Q1467" s="1" t="s">
        <v>42</v>
      </c>
      <c r="S1467" s="1" t="s">
        <v>42</v>
      </c>
      <c r="T1467" s="1" t="s">
        <v>153</v>
      </c>
      <c r="AA1467" s="1">
        <v>1017231.75</v>
      </c>
      <c r="AB1467" s="1" t="s">
        <v>1275</v>
      </c>
      <c r="AC1467" s="5">
        <v>42397</v>
      </c>
      <c r="AF1467" s="1">
        <v>10027</v>
      </c>
      <c r="AI1467" s="1" t="s">
        <v>107</v>
      </c>
      <c r="AJ1467" s="1">
        <v>1910</v>
      </c>
      <c r="AL1467" s="1">
        <v>10</v>
      </c>
    </row>
    <row r="1468" spans="1:38" x14ac:dyDescent="0.2">
      <c r="A1468" s="2" t="str">
        <f>HYPERLINK("https://www.compass.com/listing/105-bennett-avenue-unit-14a-manhattan-ny-10033/29436867220923953/","105 Bennett Ave, Unit 14A")</f>
        <v>105 Bennett Ave, Unit 14A</v>
      </c>
      <c r="B1468" s="2" t="str">
        <f t="shared" ref="B1468:B1471" si="222">HYPERLINK("https://www.compass.com/building/105-bennett-ave-manhattan-ny-10033/282010034911706389/","105 Bennett Ave")</f>
        <v>105 Bennett Ave</v>
      </c>
      <c r="C1468" s="1" t="s">
        <v>122</v>
      </c>
      <c r="D1468" s="1" t="s">
        <v>41</v>
      </c>
      <c r="E1468" s="3">
        <v>491790</v>
      </c>
      <c r="F1468" s="1">
        <v>658.35341365461795</v>
      </c>
      <c r="G1468" s="1">
        <v>3</v>
      </c>
      <c r="H1468" s="1">
        <v>1</v>
      </c>
      <c r="I1468" s="1">
        <v>1</v>
      </c>
      <c r="J1468" s="1">
        <v>1</v>
      </c>
      <c r="M1468" s="1">
        <v>747</v>
      </c>
      <c r="N1468" s="1">
        <v>478</v>
      </c>
      <c r="O1468" s="1">
        <v>702</v>
      </c>
      <c r="P1468" s="1">
        <v>224</v>
      </c>
      <c r="Q1468" s="1" t="s">
        <v>42</v>
      </c>
      <c r="S1468" s="1" t="s">
        <v>42</v>
      </c>
      <c r="T1468" s="1" t="s">
        <v>153</v>
      </c>
      <c r="U1468" s="1">
        <v>133</v>
      </c>
      <c r="V1468" s="5">
        <v>43626</v>
      </c>
      <c r="W1468" s="5">
        <v>42439</v>
      </c>
      <c r="X1468" s="1">
        <v>497000</v>
      </c>
      <c r="Y1468" s="1">
        <v>450000</v>
      </c>
      <c r="Z1468" s="5">
        <v>42572</v>
      </c>
      <c r="AA1468" s="1">
        <v>491790</v>
      </c>
      <c r="AB1468" s="1" t="s">
        <v>1276</v>
      </c>
      <c r="AC1468" s="5">
        <v>42822</v>
      </c>
      <c r="AF1468" s="1">
        <v>10033</v>
      </c>
      <c r="AJ1468" s="1">
        <v>1939</v>
      </c>
      <c r="AL1468" s="1">
        <v>65</v>
      </c>
    </row>
    <row r="1469" spans="1:38" x14ac:dyDescent="0.2">
      <c r="A1469" s="2" t="str">
        <f>HYPERLINK("https://www.compass.com/listing/105-bennett-avenue-unit-34a-manhattan-ny-10033/29436869888561393/","105 Bennett Ave, Unit 34A")</f>
        <v>105 Bennett Ave, Unit 34A</v>
      </c>
      <c r="B1469" s="2" t="str">
        <f t="shared" si="222"/>
        <v>105 Bennett Ave</v>
      </c>
      <c r="C1469" s="1" t="s">
        <v>122</v>
      </c>
      <c r="D1469" s="1" t="s">
        <v>41</v>
      </c>
      <c r="E1469" s="3">
        <v>519000</v>
      </c>
      <c r="F1469" s="1">
        <v>694.77911646586301</v>
      </c>
      <c r="G1469" s="1">
        <v>3</v>
      </c>
      <c r="H1469" s="1">
        <v>1</v>
      </c>
      <c r="I1469" s="1">
        <v>1</v>
      </c>
      <c r="J1469" s="1">
        <v>1</v>
      </c>
      <c r="M1469" s="1">
        <v>747</v>
      </c>
      <c r="N1469" s="1">
        <v>484</v>
      </c>
      <c r="O1469" s="1">
        <v>710</v>
      </c>
      <c r="P1469" s="1">
        <v>226</v>
      </c>
      <c r="Q1469" s="1" t="s">
        <v>42</v>
      </c>
      <c r="S1469" s="1" t="s">
        <v>42</v>
      </c>
      <c r="T1469" s="1" t="s">
        <v>153</v>
      </c>
      <c r="V1469" s="5">
        <v>43630</v>
      </c>
      <c r="W1469" s="5">
        <v>42759</v>
      </c>
      <c r="X1469" s="1">
        <v>519000</v>
      </c>
      <c r="Y1469" s="1">
        <v>519000</v>
      </c>
      <c r="AA1469" s="1">
        <v>519000</v>
      </c>
      <c r="AB1469" s="1" t="s">
        <v>177</v>
      </c>
      <c r="AC1469" s="5">
        <v>42759</v>
      </c>
      <c r="AF1469" s="1">
        <v>10033</v>
      </c>
      <c r="AJ1469" s="1">
        <v>1939</v>
      </c>
      <c r="AL1469" s="1">
        <v>65</v>
      </c>
    </row>
    <row r="1470" spans="1:38" x14ac:dyDescent="0.2">
      <c r="A1470" s="2" t="str">
        <f>HYPERLINK("https://www.compass.com/listing/105-bennett-avenue-unit-35b-manhattan-ny-10033/29436870307993185/","105 Bennett Ave, Unit 35B")</f>
        <v>105 Bennett Ave, Unit 35B</v>
      </c>
      <c r="B1470" s="2" t="str">
        <f t="shared" si="222"/>
        <v>105 Bennett Ave</v>
      </c>
      <c r="C1470" s="1" t="s">
        <v>122</v>
      </c>
      <c r="D1470" s="1" t="s">
        <v>41</v>
      </c>
      <c r="E1470" s="3">
        <v>566147</v>
      </c>
      <c r="F1470" s="1">
        <v>707.68375000000003</v>
      </c>
      <c r="G1470" s="1">
        <v>4</v>
      </c>
      <c r="H1470" s="1">
        <v>2</v>
      </c>
      <c r="I1470" s="1">
        <v>1</v>
      </c>
      <c r="J1470" s="1">
        <v>1</v>
      </c>
      <c r="M1470" s="1">
        <v>800</v>
      </c>
      <c r="N1470" s="1">
        <v>519</v>
      </c>
      <c r="O1470" s="1">
        <v>762</v>
      </c>
      <c r="P1470" s="1">
        <v>243</v>
      </c>
      <c r="Q1470" s="1" t="s">
        <v>42</v>
      </c>
      <c r="S1470" s="1" t="s">
        <v>42</v>
      </c>
      <c r="T1470" s="1" t="s">
        <v>153</v>
      </c>
      <c r="U1470" s="1">
        <v>22</v>
      </c>
      <c r="V1470" s="5">
        <v>43626</v>
      </c>
      <c r="W1470" s="5">
        <v>42810</v>
      </c>
      <c r="X1470" s="1">
        <v>556000</v>
      </c>
      <c r="Y1470" s="1">
        <v>556000</v>
      </c>
      <c r="Z1470" s="5">
        <v>42832</v>
      </c>
      <c r="AA1470" s="1">
        <v>566147</v>
      </c>
      <c r="AB1470" s="1" t="s">
        <v>1277</v>
      </c>
      <c r="AC1470" s="5">
        <v>42872</v>
      </c>
      <c r="AF1470" s="1">
        <v>10033</v>
      </c>
      <c r="AJ1470" s="1">
        <v>1939</v>
      </c>
      <c r="AL1470" s="1">
        <v>65</v>
      </c>
    </row>
    <row r="1471" spans="1:38" x14ac:dyDescent="0.2">
      <c r="A1471" s="2" t="str">
        <f>HYPERLINK("https://www.compass.com/listing/105-bennett-avenue-unit-45b-manhattan-ny-10033/29436871213961473/","105 Bennett Ave, Unit 45B")</f>
        <v>105 Bennett Ave, Unit 45B</v>
      </c>
      <c r="B1471" s="2" t="str">
        <f t="shared" si="222"/>
        <v>105 Bennett Ave</v>
      </c>
      <c r="C1471" s="1" t="s">
        <v>122</v>
      </c>
      <c r="D1471" s="1" t="s">
        <v>41</v>
      </c>
      <c r="E1471" s="3">
        <v>550000</v>
      </c>
      <c r="F1471" s="1">
        <v>687.5</v>
      </c>
      <c r="G1471" s="1">
        <v>4</v>
      </c>
      <c r="H1471" s="1">
        <v>2</v>
      </c>
      <c r="I1471" s="1">
        <v>1</v>
      </c>
      <c r="J1471" s="1">
        <v>1</v>
      </c>
      <c r="M1471" s="1">
        <v>800</v>
      </c>
      <c r="N1471" s="1">
        <v>522</v>
      </c>
      <c r="O1471" s="1">
        <v>766</v>
      </c>
      <c r="P1471" s="1">
        <v>244</v>
      </c>
      <c r="Q1471" s="1" t="s">
        <v>42</v>
      </c>
      <c r="S1471" s="1" t="s">
        <v>42</v>
      </c>
      <c r="T1471" s="1" t="s">
        <v>153</v>
      </c>
      <c r="U1471" s="1">
        <v>47</v>
      </c>
      <c r="V1471" s="5">
        <v>43626</v>
      </c>
      <c r="W1471" s="5">
        <v>42461</v>
      </c>
      <c r="X1471" s="1">
        <v>568000</v>
      </c>
      <c r="Y1471" s="1">
        <v>568000</v>
      </c>
      <c r="Z1471" s="5">
        <v>42508</v>
      </c>
      <c r="AA1471" s="1">
        <v>550000</v>
      </c>
      <c r="AB1471" s="1" t="s">
        <v>1278</v>
      </c>
      <c r="AC1471" s="5">
        <v>42759</v>
      </c>
      <c r="AF1471" s="1">
        <v>10033</v>
      </c>
      <c r="AJ1471" s="1">
        <v>1939</v>
      </c>
      <c r="AL1471" s="1">
        <v>65</v>
      </c>
    </row>
    <row r="1472" spans="1:38" x14ac:dyDescent="0.2">
      <c r="A1472" s="2" t="str">
        <f>HYPERLINK("https://www.compass.com/listing/155-west-126th-street-unit-4b-manhattan-ny-10027/380808307098154033/","155 W 126th St, Unit 4B")</f>
        <v>155 W 126th St, Unit 4B</v>
      </c>
      <c r="B1472" s="2" t="str">
        <f t="shared" ref="B1472:B1473" si="223">HYPERLINK("https://www.compass.com/building/155-w-126th-st-manhattan-ny-10027/281979223730651925/","155 W 126th St")</f>
        <v>155 W 126th St</v>
      </c>
      <c r="C1472" s="1" t="s">
        <v>141</v>
      </c>
      <c r="D1472" s="1" t="s">
        <v>41</v>
      </c>
      <c r="E1472" s="3">
        <v>727031</v>
      </c>
      <c r="F1472" s="1">
        <v>1073.90029542097</v>
      </c>
      <c r="H1472" s="1">
        <v>1</v>
      </c>
      <c r="J1472" s="1">
        <v>1.5</v>
      </c>
      <c r="K1472" s="1">
        <v>1</v>
      </c>
      <c r="L1472" s="1">
        <v>1</v>
      </c>
      <c r="M1472" s="1">
        <v>677</v>
      </c>
      <c r="N1472" s="1">
        <v>288</v>
      </c>
      <c r="O1472" s="1">
        <v>746</v>
      </c>
      <c r="P1472" s="1">
        <v>458</v>
      </c>
      <c r="Q1472" s="1" t="s">
        <v>42</v>
      </c>
      <c r="S1472" s="1" t="s">
        <v>42</v>
      </c>
      <c r="T1472" s="1" t="s">
        <v>153</v>
      </c>
      <c r="AA1472" s="1">
        <v>727030.5</v>
      </c>
      <c r="AB1472" s="1" t="s">
        <v>1279</v>
      </c>
      <c r="AC1472" s="5">
        <v>42398</v>
      </c>
      <c r="AF1472" s="1">
        <v>10027</v>
      </c>
      <c r="AI1472" s="1" t="s">
        <v>107</v>
      </c>
      <c r="AJ1472" s="1">
        <v>1910</v>
      </c>
      <c r="AL1472" s="1">
        <v>10</v>
      </c>
    </row>
    <row r="1473" spans="1:38" x14ac:dyDescent="0.2">
      <c r="A1473" s="2" t="str">
        <f>HYPERLINK("https://www.compass.com/listing/155-west-126th-street-unit-4a-manhattan-ny-10027/483987619903298121/","155 W 126th St, Unit 4A")</f>
        <v>155 W 126th St, Unit 4A</v>
      </c>
      <c r="B1473" s="2" t="str">
        <f t="shared" si="223"/>
        <v>155 W 126th St</v>
      </c>
      <c r="C1473" s="1" t="s">
        <v>141</v>
      </c>
      <c r="D1473" s="1" t="s">
        <v>41</v>
      </c>
      <c r="E1473" s="3">
        <v>711757</v>
      </c>
      <c r="F1473" s="1">
        <v>1115.60619122257</v>
      </c>
      <c r="H1473" s="1">
        <v>1</v>
      </c>
      <c r="J1473" s="1">
        <v>1.5</v>
      </c>
      <c r="K1473" s="1">
        <v>1</v>
      </c>
      <c r="L1473" s="1">
        <v>1</v>
      </c>
      <c r="M1473" s="1">
        <v>638</v>
      </c>
      <c r="N1473" s="1">
        <v>269</v>
      </c>
      <c r="O1473" s="1">
        <v>850.38</v>
      </c>
      <c r="P1473" s="1">
        <v>581.41666666666595</v>
      </c>
      <c r="Q1473" s="1" t="s">
        <v>42</v>
      </c>
      <c r="S1473" s="1" t="s">
        <v>42</v>
      </c>
      <c r="T1473" s="1" t="s">
        <v>153</v>
      </c>
      <c r="AA1473" s="1">
        <v>711756.75</v>
      </c>
      <c r="AB1473" s="1" t="s">
        <v>1280</v>
      </c>
      <c r="AC1473" s="5">
        <v>42600</v>
      </c>
      <c r="AF1473" s="1">
        <v>10027</v>
      </c>
      <c r="AI1473" s="1" t="s">
        <v>107</v>
      </c>
      <c r="AJ1473" s="1">
        <v>1910</v>
      </c>
      <c r="AL1473" s="1">
        <v>10</v>
      </c>
    </row>
    <row r="1474" spans="1:38" x14ac:dyDescent="0.2">
      <c r="A1474" s="2" t="str">
        <f>HYPERLINK("https://www.compass.com/listing/105-bennett-avenue-unit-34a-manhattan-ny-10033/29436869888561377/","105 Bennett Ave, Unit 34A")</f>
        <v>105 Bennett Ave, Unit 34A</v>
      </c>
      <c r="B1474" s="2" t="str">
        <f>HYPERLINK("https://www.compass.com/building/105-bennett-ave-manhattan-ny-10033/282010034911706389/","105 Bennett Ave")</f>
        <v>105 Bennett Ave</v>
      </c>
      <c r="C1474" s="1" t="s">
        <v>122</v>
      </c>
      <c r="D1474" s="1" t="s">
        <v>41</v>
      </c>
      <c r="E1474" s="3">
        <v>455000</v>
      </c>
      <c r="F1474" s="1">
        <v>609.10307898259703</v>
      </c>
      <c r="G1474" s="1">
        <v>3</v>
      </c>
      <c r="H1474" s="1">
        <v>1</v>
      </c>
      <c r="I1474" s="1">
        <v>1</v>
      </c>
      <c r="J1474" s="1">
        <v>1</v>
      </c>
      <c r="M1474" s="1">
        <v>747</v>
      </c>
      <c r="N1474" s="1">
        <v>484</v>
      </c>
      <c r="O1474" s="1">
        <v>711</v>
      </c>
      <c r="P1474" s="1">
        <v>227</v>
      </c>
      <c r="Q1474" s="1" t="s">
        <v>42</v>
      </c>
      <c r="S1474" s="1" t="s">
        <v>42</v>
      </c>
      <c r="T1474" s="1" t="s">
        <v>153</v>
      </c>
      <c r="U1474" s="1">
        <v>72</v>
      </c>
      <c r="V1474" s="5">
        <v>43630</v>
      </c>
      <c r="W1474" s="5">
        <v>42500</v>
      </c>
      <c r="X1474" s="1">
        <v>460000</v>
      </c>
      <c r="Y1474" s="1">
        <v>460000</v>
      </c>
      <c r="Z1474" s="5">
        <v>42572</v>
      </c>
      <c r="AA1474" s="1">
        <v>455000</v>
      </c>
      <c r="AB1474" s="1" t="s">
        <v>1281</v>
      </c>
      <c r="AC1474" s="5">
        <v>42746</v>
      </c>
      <c r="AF1474" s="1">
        <v>10033</v>
      </c>
      <c r="AJ1474" s="1">
        <v>1939</v>
      </c>
      <c r="AL1474" s="1">
        <v>65</v>
      </c>
    </row>
    <row r="1475" spans="1:38" x14ac:dyDescent="0.2">
      <c r="A1475" s="2" t="str">
        <f>HYPERLINK("https://www.compass.com/listing/543-west-122nd-street-unit-16c-manhattan-ny-10027/400600766309251681/","543 W 122nd St, Unit 16C")</f>
        <v>543 W 122nd St, Unit 16C</v>
      </c>
      <c r="B1475" s="2" t="str">
        <f>HYPERLINK("https://www.compass.com/building/vandewater-manhattan-ny/282058681657361477/","Vandewater")</f>
        <v>Vandewater</v>
      </c>
      <c r="C1475" s="1" t="s">
        <v>95</v>
      </c>
      <c r="D1475" s="1" t="s">
        <v>41</v>
      </c>
      <c r="E1475" s="3">
        <v>1980000</v>
      </c>
      <c r="F1475" s="1">
        <v>1592.9203539823</v>
      </c>
      <c r="G1475" s="1">
        <v>4</v>
      </c>
      <c r="H1475" s="1">
        <v>2</v>
      </c>
      <c r="I1475" s="1">
        <v>2</v>
      </c>
      <c r="J1475" s="1">
        <v>2</v>
      </c>
      <c r="K1475" s="1">
        <v>2</v>
      </c>
      <c r="M1475" s="4">
        <v>1243</v>
      </c>
      <c r="N1475" s="1">
        <v>1236</v>
      </c>
      <c r="O1475" s="1">
        <v>2497</v>
      </c>
      <c r="P1475" s="1">
        <v>1261</v>
      </c>
      <c r="Q1475" s="1" t="s">
        <v>42</v>
      </c>
      <c r="S1475" s="1" t="s">
        <v>42</v>
      </c>
      <c r="T1475" s="1" t="s">
        <v>153</v>
      </c>
      <c r="V1475" s="5">
        <v>44418</v>
      </c>
      <c r="W1475" s="5">
        <v>44355</v>
      </c>
      <c r="X1475" s="1">
        <v>1990000</v>
      </c>
      <c r="Y1475" s="1">
        <v>1990000</v>
      </c>
      <c r="Z1475" s="5">
        <v>44355</v>
      </c>
      <c r="AA1475" s="1">
        <v>1980000</v>
      </c>
      <c r="AB1475" s="1" t="s">
        <v>1282</v>
      </c>
      <c r="AC1475" s="5">
        <v>44406</v>
      </c>
      <c r="AF1475" s="1">
        <v>10027</v>
      </c>
      <c r="AI1475" s="1" t="s">
        <v>96</v>
      </c>
      <c r="AJ1475" s="1">
        <v>2019</v>
      </c>
      <c r="AK1475" s="1" t="s">
        <v>46</v>
      </c>
      <c r="AL1475" s="1">
        <v>183</v>
      </c>
    </row>
    <row r="1476" spans="1:38" x14ac:dyDescent="0.2">
      <c r="A1476" s="2" t="str">
        <f>HYPERLINK("https://www.compass.com/listing/105-bennett-avenue-unit-21b-manhattan-ny-10033/29436867959182913/","105 Bennett Ave, Unit 21B")</f>
        <v>105 Bennett Ave, Unit 21B</v>
      </c>
      <c r="B1476" s="2" t="str">
        <f t="shared" ref="B1476:B1480" si="224">HYPERLINK("https://www.compass.com/building/105-bennett-ave-manhattan-ny-10033/282010034911706389/","105 Bennett Ave")</f>
        <v>105 Bennett Ave</v>
      </c>
      <c r="C1476" s="1" t="s">
        <v>122</v>
      </c>
      <c r="D1476" s="1" t="s">
        <v>41</v>
      </c>
      <c r="E1476" s="3">
        <v>571238</v>
      </c>
      <c r="F1476" s="1">
        <v>677.62514827995199</v>
      </c>
      <c r="G1476" s="1">
        <v>4</v>
      </c>
      <c r="H1476" s="1">
        <v>2</v>
      </c>
      <c r="I1476" s="1">
        <v>1</v>
      </c>
      <c r="J1476" s="1">
        <v>1</v>
      </c>
      <c r="M1476" s="1">
        <v>843</v>
      </c>
      <c r="N1476" s="1">
        <v>539</v>
      </c>
      <c r="O1476" s="1">
        <v>791</v>
      </c>
      <c r="P1476" s="1">
        <v>252</v>
      </c>
      <c r="Q1476" s="1" t="s">
        <v>42</v>
      </c>
      <c r="S1476" s="1" t="s">
        <v>42</v>
      </c>
      <c r="T1476" s="1" t="s">
        <v>153</v>
      </c>
      <c r="U1476" s="1">
        <v>7</v>
      </c>
      <c r="V1476" s="5">
        <v>43626</v>
      </c>
      <c r="W1476" s="5">
        <v>42461</v>
      </c>
      <c r="X1476" s="1">
        <v>561000</v>
      </c>
      <c r="Y1476" s="1">
        <v>561000</v>
      </c>
      <c r="Z1476" s="5">
        <v>42468</v>
      </c>
      <c r="AA1476" s="1">
        <v>571238</v>
      </c>
      <c r="AB1476" s="1" t="s">
        <v>1283</v>
      </c>
      <c r="AC1476" s="5">
        <v>42766</v>
      </c>
      <c r="AF1476" s="1">
        <v>10033</v>
      </c>
      <c r="AJ1476" s="1">
        <v>1939</v>
      </c>
      <c r="AL1476" s="1">
        <v>65</v>
      </c>
    </row>
    <row r="1477" spans="1:38" x14ac:dyDescent="0.2">
      <c r="A1477" s="2" t="str">
        <f>HYPERLINK("https://www.compass.com/listing/105-bennett-avenue-unit-52a-manhattan-ny-10033/29436871977264753/","105 Bennett Ave, Unit 52A")</f>
        <v>105 Bennett Ave, Unit 52A</v>
      </c>
      <c r="B1477" s="2" t="str">
        <f t="shared" si="224"/>
        <v>105 Bennett Ave</v>
      </c>
      <c r="C1477" s="1" t="s">
        <v>122</v>
      </c>
      <c r="D1477" s="1" t="s">
        <v>41</v>
      </c>
      <c r="E1477" s="3">
        <v>594658</v>
      </c>
      <c r="F1477" s="1">
        <v>737.78908188585604</v>
      </c>
      <c r="G1477" s="1">
        <v>4</v>
      </c>
      <c r="H1477" s="1">
        <v>2</v>
      </c>
      <c r="I1477" s="1">
        <v>1</v>
      </c>
      <c r="J1477" s="1">
        <v>1</v>
      </c>
      <c r="M1477" s="1">
        <v>806</v>
      </c>
      <c r="N1477" s="1">
        <v>529</v>
      </c>
      <c r="O1477" s="1">
        <v>777</v>
      </c>
      <c r="P1477" s="1">
        <v>248</v>
      </c>
      <c r="Q1477" s="1" t="s">
        <v>42</v>
      </c>
      <c r="S1477" s="1" t="s">
        <v>42</v>
      </c>
      <c r="T1477" s="1" t="s">
        <v>153</v>
      </c>
      <c r="U1477" s="1">
        <v>28</v>
      </c>
      <c r="V1477" s="5">
        <v>43366</v>
      </c>
      <c r="W1477" s="5">
        <v>42438</v>
      </c>
      <c r="X1477" s="1">
        <v>556000</v>
      </c>
      <c r="Y1477" s="1">
        <v>584000</v>
      </c>
      <c r="Z1477" s="5">
        <v>42467</v>
      </c>
      <c r="AA1477" s="1">
        <v>594658</v>
      </c>
      <c r="AB1477" s="1" t="s">
        <v>1284</v>
      </c>
      <c r="AC1477" s="5">
        <v>42782</v>
      </c>
      <c r="AF1477" s="1">
        <v>10033</v>
      </c>
      <c r="AJ1477" s="1">
        <v>1939</v>
      </c>
      <c r="AL1477" s="1">
        <v>65</v>
      </c>
    </row>
    <row r="1478" spans="1:38" x14ac:dyDescent="0.2">
      <c r="A1478" s="2" t="str">
        <f>HYPERLINK("https://www.compass.com/listing/105-bennett-avenue-unit-64a-manhattan-ny-10033/29436873034229377/","105 Bennett Ave, Unit 64A")</f>
        <v>105 Bennett Ave, Unit 64A</v>
      </c>
      <c r="B1478" s="2" t="str">
        <f t="shared" si="224"/>
        <v>105 Bennett Ave</v>
      </c>
      <c r="C1478" s="1" t="s">
        <v>122</v>
      </c>
      <c r="D1478" s="1" t="s">
        <v>41</v>
      </c>
      <c r="E1478" s="3">
        <v>475000</v>
      </c>
      <c r="F1478" s="1">
        <v>635.87684069611703</v>
      </c>
      <c r="G1478" s="1">
        <v>3</v>
      </c>
      <c r="H1478" s="1">
        <v>1</v>
      </c>
      <c r="I1478" s="1">
        <v>1</v>
      </c>
      <c r="J1478" s="1">
        <v>1</v>
      </c>
      <c r="M1478" s="1">
        <v>747</v>
      </c>
      <c r="N1478" s="1">
        <v>494</v>
      </c>
      <c r="O1478" s="1">
        <v>725</v>
      </c>
      <c r="P1478" s="1">
        <v>231</v>
      </c>
      <c r="Q1478" s="1" t="s">
        <v>42</v>
      </c>
      <c r="S1478" s="1" t="s">
        <v>42</v>
      </c>
      <c r="T1478" s="1" t="s">
        <v>153</v>
      </c>
      <c r="U1478" s="1">
        <v>15</v>
      </c>
      <c r="V1478" s="5">
        <v>43626</v>
      </c>
      <c r="W1478" s="5">
        <v>42586</v>
      </c>
      <c r="X1478" s="1">
        <v>475000</v>
      </c>
      <c r="Y1478" s="1">
        <v>475000</v>
      </c>
      <c r="Z1478" s="5">
        <v>42601</v>
      </c>
      <c r="AA1478" s="1">
        <v>475000</v>
      </c>
      <c r="AB1478" s="1" t="s">
        <v>1285</v>
      </c>
      <c r="AC1478" s="5">
        <v>42740</v>
      </c>
      <c r="AF1478" s="1">
        <v>10033</v>
      </c>
      <c r="AJ1478" s="1">
        <v>1939</v>
      </c>
      <c r="AL1478" s="1">
        <v>65</v>
      </c>
    </row>
    <row r="1479" spans="1:38" x14ac:dyDescent="0.2">
      <c r="A1479" s="2" t="str">
        <f>HYPERLINK("https://www.compass.com/listing/105-bennett-avenue-unit-64a-manhattan-ny-10033/29436873042618001/","105 Bennett Ave, Unit 64A")</f>
        <v>105 Bennett Ave, Unit 64A</v>
      </c>
      <c r="B1479" s="2" t="str">
        <f t="shared" si="224"/>
        <v>105 Bennett Ave</v>
      </c>
      <c r="C1479" s="1" t="s">
        <v>122</v>
      </c>
      <c r="D1479" s="1" t="s">
        <v>41</v>
      </c>
      <c r="E1479" s="3">
        <v>475000</v>
      </c>
      <c r="F1479" s="1">
        <v>635.87684069611703</v>
      </c>
      <c r="G1479" s="1">
        <v>3</v>
      </c>
      <c r="H1479" s="1">
        <v>1</v>
      </c>
      <c r="I1479" s="1">
        <v>1</v>
      </c>
      <c r="J1479" s="1">
        <v>1</v>
      </c>
      <c r="M1479" s="1">
        <v>747</v>
      </c>
      <c r="N1479" s="1">
        <v>494</v>
      </c>
      <c r="O1479" s="1">
        <v>725</v>
      </c>
      <c r="P1479" s="1">
        <v>231</v>
      </c>
      <c r="Q1479" s="1" t="s">
        <v>42</v>
      </c>
      <c r="S1479" s="1" t="s">
        <v>42</v>
      </c>
      <c r="T1479" s="1" t="s">
        <v>153</v>
      </c>
      <c r="U1479" s="1">
        <v>15</v>
      </c>
      <c r="V1479" s="5">
        <v>43636</v>
      </c>
      <c r="W1479" s="5">
        <v>42586</v>
      </c>
      <c r="X1479" s="1">
        <v>475000</v>
      </c>
      <c r="Y1479" s="1">
        <v>475000</v>
      </c>
      <c r="Z1479" s="5">
        <v>42601</v>
      </c>
      <c r="AA1479" s="1">
        <v>475000</v>
      </c>
      <c r="AB1479" s="1" t="s">
        <v>1285</v>
      </c>
      <c r="AC1479" s="5">
        <v>42740</v>
      </c>
      <c r="AF1479" s="1">
        <v>10033</v>
      </c>
      <c r="AJ1479" s="1">
        <v>1939</v>
      </c>
      <c r="AL1479" s="1">
        <v>65</v>
      </c>
    </row>
    <row r="1480" spans="1:38" x14ac:dyDescent="0.2">
      <c r="A1480" s="2" t="str">
        <f>HYPERLINK("https://www.compass.com/listing/105-bennett-avenue-unit-32a-manhattan-ny-10033/4855154411036481665/","105 Bennett Ave, Unit 32A")</f>
        <v>105 Bennett Ave, Unit 32A</v>
      </c>
      <c r="B1480" s="2" t="str">
        <f t="shared" si="224"/>
        <v>105 Bennett Ave</v>
      </c>
      <c r="C1480" s="1" t="s">
        <v>122</v>
      </c>
      <c r="D1480" s="1" t="s">
        <v>41</v>
      </c>
      <c r="E1480" s="3">
        <v>549450</v>
      </c>
      <c r="F1480" s="1">
        <v>681.69975186104205</v>
      </c>
      <c r="G1480" s="1">
        <v>4</v>
      </c>
      <c r="H1480" s="1">
        <v>2</v>
      </c>
      <c r="I1480" s="1">
        <v>1</v>
      </c>
      <c r="J1480" s="1">
        <v>1</v>
      </c>
      <c r="M1480" s="1">
        <v>806</v>
      </c>
      <c r="N1480" s="1">
        <v>522</v>
      </c>
      <c r="O1480" s="1">
        <v>795</v>
      </c>
      <c r="P1480" s="1">
        <v>273</v>
      </c>
      <c r="Q1480" s="1" t="s">
        <v>42</v>
      </c>
      <c r="S1480" s="1" t="s">
        <v>42</v>
      </c>
      <c r="T1480" s="1" t="s">
        <v>153</v>
      </c>
      <c r="U1480" s="1">
        <v>29</v>
      </c>
      <c r="V1480" s="5">
        <v>43633</v>
      </c>
      <c r="W1480" s="5">
        <v>43195</v>
      </c>
      <c r="X1480" s="1">
        <v>560000</v>
      </c>
      <c r="Y1480" s="1">
        <v>560000</v>
      </c>
      <c r="Z1480" s="5">
        <v>43224</v>
      </c>
      <c r="AA1480" s="1">
        <v>549450</v>
      </c>
      <c r="AB1480" s="1" t="s">
        <v>1286</v>
      </c>
      <c r="AC1480" s="5">
        <v>43304</v>
      </c>
      <c r="AF1480" s="1">
        <v>10033</v>
      </c>
      <c r="AJ1480" s="1">
        <v>1939</v>
      </c>
      <c r="AL1480" s="1">
        <v>65</v>
      </c>
    </row>
    <row r="1481" spans="1:38" x14ac:dyDescent="0.2">
      <c r="A1481" s="2" t="str">
        <f>HYPERLINK("https://www.compass.com/listing/1325-5th-avenue-unit-6g-manhattan-ny-10029/780003886651475009/","1325 5th Ave, Unit 6G")</f>
        <v>1325 5th Ave, Unit 6G</v>
      </c>
      <c r="B1481" s="2" t="str">
        <f>HYPERLINK("https://www.compass.com/building/the-fifth-avenue-manhattan-ny/294843719022876805/","The Fifth Avenue")</f>
        <v>The Fifth Avenue</v>
      </c>
      <c r="C1481" s="1" t="s">
        <v>60</v>
      </c>
      <c r="D1481" s="1" t="s">
        <v>41</v>
      </c>
      <c r="E1481" s="3">
        <v>699000</v>
      </c>
      <c r="F1481" s="1">
        <v>1043.28358208955</v>
      </c>
      <c r="G1481" s="1">
        <v>3</v>
      </c>
      <c r="H1481" s="1">
        <v>1</v>
      </c>
      <c r="I1481" s="1">
        <v>1</v>
      </c>
      <c r="J1481" s="1">
        <v>1</v>
      </c>
      <c r="K1481" s="1">
        <v>1</v>
      </c>
      <c r="M1481" s="1">
        <v>670</v>
      </c>
      <c r="N1481" s="1">
        <v>802.65</v>
      </c>
      <c r="O1481" s="1">
        <v>1214.01</v>
      </c>
      <c r="P1481" s="1">
        <v>411.33333333333297</v>
      </c>
      <c r="Q1481" s="1" t="s">
        <v>42</v>
      </c>
      <c r="S1481" s="1" t="s">
        <v>42</v>
      </c>
      <c r="T1481" s="1" t="s">
        <v>153</v>
      </c>
      <c r="V1481" s="5">
        <v>44406</v>
      </c>
      <c r="W1481" s="5">
        <v>44327</v>
      </c>
      <c r="X1481" s="1">
        <v>699000</v>
      </c>
      <c r="Y1481" s="1">
        <v>699000</v>
      </c>
      <c r="Z1481" s="5">
        <v>44327</v>
      </c>
      <c r="AA1481" s="1">
        <v>699000</v>
      </c>
      <c r="AB1481" s="1" t="s">
        <v>1287</v>
      </c>
      <c r="AC1481" s="5">
        <v>44386</v>
      </c>
      <c r="AF1481" s="1">
        <v>10029</v>
      </c>
      <c r="AI1481" s="1" t="s">
        <v>113</v>
      </c>
      <c r="AJ1481" s="1">
        <v>1989</v>
      </c>
      <c r="AK1481" s="1" t="s">
        <v>46</v>
      </c>
      <c r="AL1481" s="1">
        <v>71</v>
      </c>
    </row>
    <row r="1482" spans="1:38" x14ac:dyDescent="0.2">
      <c r="A1482" s="2" t="str">
        <f>HYPERLINK("https://www.compass.com/listing/69-bennett-avenue-unit-608-manhattan-ny-10033/29436865694258721/","69 Bennett Ave, Unit 608")</f>
        <v>69 Bennett Ave, Unit 608</v>
      </c>
      <c r="B1482" s="2" t="str">
        <f>HYPERLINK("https://www.compass.com/building/69-bennett-ave-manhattan-ny-10033/282013522349526869/","69 Bennett Ave")</f>
        <v>69 Bennett Ave</v>
      </c>
      <c r="C1482" s="1" t="s">
        <v>122</v>
      </c>
      <c r="D1482" s="1" t="s">
        <v>41</v>
      </c>
      <c r="E1482" s="3">
        <v>413600</v>
      </c>
      <c r="F1482" s="1">
        <v>732.03539823008805</v>
      </c>
      <c r="G1482" s="1">
        <v>2</v>
      </c>
      <c r="H1482" s="1" t="s">
        <v>94</v>
      </c>
      <c r="I1482" s="1">
        <v>1</v>
      </c>
      <c r="J1482" s="1">
        <v>1</v>
      </c>
      <c r="M1482" s="1">
        <v>565</v>
      </c>
      <c r="N1482" s="1">
        <v>435</v>
      </c>
      <c r="O1482" s="1">
        <v>696</v>
      </c>
      <c r="P1482" s="1">
        <v>261</v>
      </c>
      <c r="Q1482" s="1" t="s">
        <v>42</v>
      </c>
      <c r="S1482" s="1" t="s">
        <v>42</v>
      </c>
      <c r="T1482" s="1" t="s">
        <v>153</v>
      </c>
      <c r="U1482" s="1">
        <v>175</v>
      </c>
      <c r="V1482" s="5">
        <v>43673</v>
      </c>
      <c r="W1482" s="5">
        <v>42382</v>
      </c>
      <c r="X1482" s="1">
        <v>413600</v>
      </c>
      <c r="Y1482" s="1">
        <v>413600</v>
      </c>
      <c r="Z1482" s="5">
        <v>42557</v>
      </c>
      <c r="AA1482" s="1">
        <v>413600</v>
      </c>
      <c r="AB1482" s="1" t="s">
        <v>1288</v>
      </c>
      <c r="AC1482" s="5">
        <v>42572</v>
      </c>
      <c r="AF1482" s="1">
        <v>10033</v>
      </c>
      <c r="AJ1482" s="1">
        <v>1954</v>
      </c>
      <c r="AL1482" s="1">
        <v>60</v>
      </c>
    </row>
    <row r="1483" spans="1:38" x14ac:dyDescent="0.2">
      <c r="A1483" s="2" t="str">
        <f>HYPERLINK("https://www.compass.com/listing/105-bennett-avenue-unit-12b-manhattan-ny-10033/29436866843498033/","105 Bennett Ave, Unit 12B")</f>
        <v>105 Bennett Ave, Unit 12B</v>
      </c>
      <c r="B1483" s="2" t="str">
        <f t="shared" ref="B1483:B1484" si="225">HYPERLINK("https://www.compass.com/building/105-bennett-ave-manhattan-ny-10033/282010034911706389/","105 Bennett Ave")</f>
        <v>105 Bennett Ave</v>
      </c>
      <c r="C1483" s="1" t="s">
        <v>122</v>
      </c>
      <c r="D1483" s="1" t="s">
        <v>41</v>
      </c>
      <c r="E1483" s="3">
        <v>492804</v>
      </c>
      <c r="F1483" s="1">
        <v>608.4</v>
      </c>
      <c r="G1483" s="1">
        <v>3</v>
      </c>
      <c r="H1483" s="1">
        <v>1</v>
      </c>
      <c r="I1483" s="1">
        <v>1</v>
      </c>
      <c r="J1483" s="1">
        <v>1</v>
      </c>
      <c r="M1483" s="1">
        <v>810</v>
      </c>
      <c r="N1483" s="1">
        <v>518</v>
      </c>
      <c r="O1483" s="1">
        <v>796</v>
      </c>
      <c r="P1483" s="1">
        <v>278</v>
      </c>
      <c r="Q1483" s="1" t="s">
        <v>42</v>
      </c>
      <c r="S1483" s="1" t="s">
        <v>42</v>
      </c>
      <c r="T1483" s="1" t="s">
        <v>153</v>
      </c>
      <c r="U1483" s="1">
        <v>258</v>
      </c>
      <c r="V1483" s="5">
        <v>43626</v>
      </c>
      <c r="W1483" s="5">
        <v>42790</v>
      </c>
      <c r="X1483" s="1">
        <v>539000</v>
      </c>
      <c r="Y1483" s="1">
        <v>510000</v>
      </c>
      <c r="Z1483" s="5">
        <v>43048</v>
      </c>
      <c r="AA1483" s="1">
        <v>492804</v>
      </c>
      <c r="AB1483" s="1" t="s">
        <v>1289</v>
      </c>
      <c r="AC1483" s="5">
        <v>43096</v>
      </c>
      <c r="AF1483" s="1">
        <v>10033</v>
      </c>
      <c r="AJ1483" s="1">
        <v>1939</v>
      </c>
      <c r="AL1483" s="1">
        <v>65</v>
      </c>
    </row>
    <row r="1484" spans="1:38" x14ac:dyDescent="0.2">
      <c r="A1484" s="2" t="str">
        <f>HYPERLINK("https://www.compass.com/listing/105-bennett-avenue-unit-24a-manhattan-ny-10033/29436868781265105/","105 Bennett Ave, Unit 24A")</f>
        <v>105 Bennett Ave, Unit 24A</v>
      </c>
      <c r="B1484" s="2" t="str">
        <f t="shared" si="225"/>
        <v>105 Bennett Ave</v>
      </c>
      <c r="C1484" s="1" t="s">
        <v>122</v>
      </c>
      <c r="D1484" s="1" t="s">
        <v>41</v>
      </c>
      <c r="E1484" s="3">
        <v>510000</v>
      </c>
      <c r="F1484" s="1">
        <v>682.73092369477899</v>
      </c>
      <c r="G1484" s="1">
        <v>4</v>
      </c>
      <c r="H1484" s="1">
        <v>2</v>
      </c>
      <c r="I1484" s="1">
        <v>1</v>
      </c>
      <c r="J1484" s="1">
        <v>1</v>
      </c>
      <c r="M1484" s="1">
        <v>747</v>
      </c>
      <c r="N1484" s="1">
        <v>481</v>
      </c>
      <c r="O1484" s="1">
        <v>739</v>
      </c>
      <c r="P1484" s="1">
        <v>258</v>
      </c>
      <c r="Q1484" s="1" t="s">
        <v>42</v>
      </c>
      <c r="S1484" s="1" t="s">
        <v>42</v>
      </c>
      <c r="T1484" s="1" t="s">
        <v>153</v>
      </c>
      <c r="U1484" s="1">
        <v>297</v>
      </c>
      <c r="V1484" s="5">
        <v>43624</v>
      </c>
      <c r="W1484" s="5">
        <v>42871</v>
      </c>
      <c r="X1484" s="1">
        <v>530000</v>
      </c>
      <c r="Y1484" s="1">
        <v>520000</v>
      </c>
      <c r="Z1484" s="5">
        <v>43168</v>
      </c>
      <c r="AA1484" s="1">
        <v>510000</v>
      </c>
      <c r="AB1484" s="1" t="s">
        <v>1290</v>
      </c>
      <c r="AC1484" s="5">
        <v>43243</v>
      </c>
      <c r="AF1484" s="1">
        <v>10033</v>
      </c>
      <c r="AJ1484" s="1">
        <v>1939</v>
      </c>
      <c r="AL1484" s="1">
        <v>65</v>
      </c>
    </row>
    <row r="1485" spans="1:38" x14ac:dyDescent="0.2">
      <c r="A1485" s="2" t="str">
        <f>HYPERLINK("https://www.compass.com/listing/69-bennett-avenue-unit-303-manhattan-ny-10033/612341785957902537/","69 Bennett Ave, Unit 303")</f>
        <v>69 Bennett Ave, Unit 303</v>
      </c>
      <c r="B1485" s="2" t="str">
        <f t="shared" ref="B1485:B1495" si="226">HYPERLINK("https://www.compass.com/building/69-bennett-ave-manhattan-ny-10033/282013522349526869/","69 Bennett Ave")</f>
        <v>69 Bennett Ave</v>
      </c>
      <c r="C1485" s="1" t="s">
        <v>122</v>
      </c>
      <c r="D1485" s="1" t="s">
        <v>41</v>
      </c>
      <c r="E1485" s="3">
        <v>550000</v>
      </c>
      <c r="F1485" s="1">
        <v>603.07017543859604</v>
      </c>
      <c r="G1485" s="1">
        <v>4</v>
      </c>
      <c r="H1485" s="1">
        <v>2</v>
      </c>
      <c r="I1485" s="1">
        <v>1</v>
      </c>
      <c r="J1485" s="1">
        <v>1</v>
      </c>
      <c r="K1485" s="1">
        <v>1</v>
      </c>
      <c r="M1485" s="1">
        <v>912</v>
      </c>
      <c r="N1485" s="1">
        <v>634</v>
      </c>
      <c r="O1485" s="1">
        <v>1135</v>
      </c>
      <c r="P1485" s="1">
        <v>501</v>
      </c>
      <c r="Q1485" s="1" t="s">
        <v>114</v>
      </c>
      <c r="S1485" s="1" t="s">
        <v>42</v>
      </c>
      <c r="T1485" s="1" t="s">
        <v>153</v>
      </c>
      <c r="V1485" s="5">
        <v>44264</v>
      </c>
      <c r="W1485" s="5">
        <v>44097</v>
      </c>
      <c r="X1485" s="1">
        <v>570000</v>
      </c>
      <c r="Y1485" s="1">
        <v>570000</v>
      </c>
      <c r="Z1485" s="5">
        <v>44097</v>
      </c>
      <c r="AA1485" s="1">
        <v>550000</v>
      </c>
      <c r="AB1485" s="1" t="s">
        <v>1291</v>
      </c>
      <c r="AC1485" s="5">
        <v>44259</v>
      </c>
      <c r="AF1485" s="1">
        <v>10033</v>
      </c>
      <c r="AJ1485" s="1">
        <v>1954</v>
      </c>
      <c r="AL1485" s="1">
        <v>60</v>
      </c>
    </row>
    <row r="1486" spans="1:38" x14ac:dyDescent="0.2">
      <c r="A1486" s="2" t="str">
        <f>HYPERLINK("https://www.compass.com/listing/69-bennett-avenue-unit-204-manhattan-ny-10033/29436861290239457/","69 Bennett Ave, Unit 204")</f>
        <v>69 Bennett Ave, Unit 204</v>
      </c>
      <c r="B1486" s="2" t="str">
        <f t="shared" si="226"/>
        <v>69 Bennett Ave</v>
      </c>
      <c r="C1486" s="1" t="s">
        <v>122</v>
      </c>
      <c r="D1486" s="1" t="s">
        <v>41</v>
      </c>
      <c r="E1486" s="3">
        <v>496860</v>
      </c>
      <c r="F1486" s="1">
        <v>679.69904240766004</v>
      </c>
      <c r="G1486" s="1">
        <v>3.5</v>
      </c>
      <c r="H1486" s="1">
        <v>1</v>
      </c>
      <c r="I1486" s="1">
        <v>1</v>
      </c>
      <c r="J1486" s="1">
        <v>1</v>
      </c>
      <c r="M1486" s="1">
        <v>731</v>
      </c>
      <c r="N1486" s="1">
        <v>560</v>
      </c>
      <c r="O1486" s="1">
        <v>897</v>
      </c>
      <c r="P1486" s="1">
        <v>337</v>
      </c>
      <c r="Q1486" s="1" t="s">
        <v>42</v>
      </c>
      <c r="S1486" s="1" t="s">
        <v>42</v>
      </c>
      <c r="T1486" s="1" t="s">
        <v>153</v>
      </c>
      <c r="U1486" s="1">
        <v>115</v>
      </c>
      <c r="V1486" s="5">
        <v>43677</v>
      </c>
      <c r="W1486" s="5">
        <v>42199</v>
      </c>
      <c r="X1486" s="1">
        <v>359000</v>
      </c>
      <c r="Y1486" s="1">
        <v>528000</v>
      </c>
      <c r="Z1486" s="5">
        <v>42314</v>
      </c>
      <c r="AA1486" s="1">
        <v>496860</v>
      </c>
      <c r="AB1486" s="1" t="s">
        <v>1292</v>
      </c>
      <c r="AC1486" s="5">
        <v>42524</v>
      </c>
      <c r="AF1486" s="1">
        <v>10033</v>
      </c>
      <c r="AJ1486" s="1">
        <v>1954</v>
      </c>
      <c r="AL1486" s="1">
        <v>60</v>
      </c>
    </row>
    <row r="1487" spans="1:38" x14ac:dyDescent="0.2">
      <c r="A1487" s="2" t="str">
        <f>HYPERLINK("https://www.compass.com/listing/69-bennett-avenue-unit-302-manhattan-ny-10033/29436862305261041/","69 Bennett Ave, Unit 302")</f>
        <v>69 Bennett Ave, Unit 302</v>
      </c>
      <c r="B1487" s="2" t="str">
        <f t="shared" si="226"/>
        <v>69 Bennett Ave</v>
      </c>
      <c r="C1487" s="1" t="s">
        <v>122</v>
      </c>
      <c r="D1487" s="1" t="s">
        <v>41</v>
      </c>
      <c r="E1487" s="3">
        <v>570000</v>
      </c>
      <c r="F1487" s="1">
        <v>708.07453416148996</v>
      </c>
      <c r="G1487" s="1">
        <v>3.5</v>
      </c>
      <c r="H1487" s="1">
        <v>1</v>
      </c>
      <c r="I1487" s="1">
        <v>1</v>
      </c>
      <c r="J1487" s="1">
        <v>1</v>
      </c>
      <c r="M1487" s="1">
        <v>805</v>
      </c>
      <c r="N1487" s="1">
        <v>622</v>
      </c>
      <c r="O1487" s="1">
        <v>995</v>
      </c>
      <c r="P1487" s="1">
        <v>373</v>
      </c>
      <c r="Q1487" s="1" t="s">
        <v>42</v>
      </c>
      <c r="S1487" s="1" t="s">
        <v>42</v>
      </c>
      <c r="T1487" s="1" t="s">
        <v>153</v>
      </c>
      <c r="U1487" s="1">
        <v>497</v>
      </c>
      <c r="V1487" s="5">
        <v>43665</v>
      </c>
      <c r="W1487" s="5">
        <v>42199</v>
      </c>
      <c r="X1487" s="1">
        <v>540000</v>
      </c>
      <c r="Y1487" s="1">
        <v>594000</v>
      </c>
      <c r="Z1487" s="5">
        <v>42696</v>
      </c>
      <c r="AA1487" s="1">
        <v>570000</v>
      </c>
      <c r="AB1487" s="1" t="s">
        <v>1293</v>
      </c>
      <c r="AC1487" s="5">
        <v>42725</v>
      </c>
      <c r="AF1487" s="1">
        <v>10033</v>
      </c>
      <c r="AJ1487" s="1">
        <v>1954</v>
      </c>
      <c r="AL1487" s="1">
        <v>60</v>
      </c>
    </row>
    <row r="1488" spans="1:38" x14ac:dyDescent="0.2">
      <c r="A1488" s="2" t="str">
        <f>HYPERLINK("https://www.compass.com/listing/69-bennett-avenue-unit-404-manhattan-ny-10033/29436863429334529/","69 Bennett Ave, Unit 404")</f>
        <v>69 Bennett Ave, Unit 404</v>
      </c>
      <c r="B1488" s="2" t="str">
        <f t="shared" si="226"/>
        <v>69 Bennett Ave</v>
      </c>
      <c r="C1488" s="1" t="s">
        <v>122</v>
      </c>
      <c r="D1488" s="1" t="s">
        <v>41</v>
      </c>
      <c r="E1488" s="3">
        <v>525000</v>
      </c>
      <c r="F1488" s="1">
        <v>718.19425444596402</v>
      </c>
      <c r="G1488" s="1">
        <v>3</v>
      </c>
      <c r="H1488" s="1">
        <v>1</v>
      </c>
      <c r="I1488" s="1">
        <v>1</v>
      </c>
      <c r="J1488" s="1">
        <v>1</v>
      </c>
      <c r="M1488" s="1">
        <v>731</v>
      </c>
      <c r="N1488" s="1">
        <v>570</v>
      </c>
      <c r="O1488" s="1">
        <v>912</v>
      </c>
      <c r="P1488" s="1">
        <v>342</v>
      </c>
      <c r="Q1488" s="1" t="s">
        <v>42</v>
      </c>
      <c r="S1488" s="1" t="s">
        <v>42</v>
      </c>
      <c r="T1488" s="1" t="s">
        <v>153</v>
      </c>
      <c r="U1488" s="1">
        <v>61</v>
      </c>
      <c r="V1488" s="5">
        <v>43675</v>
      </c>
      <c r="W1488" s="5">
        <v>42314</v>
      </c>
      <c r="X1488" s="1">
        <v>552200</v>
      </c>
      <c r="Y1488" s="1">
        <v>552200</v>
      </c>
      <c r="Z1488" s="5">
        <v>42375</v>
      </c>
      <c r="AA1488" s="1">
        <v>525000</v>
      </c>
      <c r="AB1488" s="1" t="s">
        <v>1294</v>
      </c>
      <c r="AC1488" s="5">
        <v>42565</v>
      </c>
      <c r="AF1488" s="1">
        <v>10033</v>
      </c>
      <c r="AJ1488" s="1">
        <v>1954</v>
      </c>
      <c r="AL1488" s="1">
        <v>60</v>
      </c>
    </row>
    <row r="1489" spans="1:38" x14ac:dyDescent="0.2">
      <c r="A1489" s="2" t="str">
        <f>HYPERLINK("https://www.compass.com/listing/69-bennett-avenue-unit-506-manhattan-ny-10033/29436864972776977/","69 Bennett Ave, Unit 506")</f>
        <v>69 Bennett Ave, Unit 506</v>
      </c>
      <c r="B1489" s="2" t="str">
        <f t="shared" si="226"/>
        <v>69 Bennett Ave</v>
      </c>
      <c r="C1489" s="1" t="s">
        <v>122</v>
      </c>
      <c r="D1489" s="1" t="s">
        <v>41</v>
      </c>
      <c r="E1489" s="3">
        <v>570425</v>
      </c>
      <c r="F1489" s="1">
        <v>607.48136315228896</v>
      </c>
      <c r="G1489" s="1">
        <v>5</v>
      </c>
      <c r="H1489" s="1">
        <v>2</v>
      </c>
      <c r="I1489" s="1">
        <v>1</v>
      </c>
      <c r="J1489" s="1">
        <v>1</v>
      </c>
      <c r="M1489" s="1">
        <v>939</v>
      </c>
      <c r="N1489" s="1">
        <v>738</v>
      </c>
      <c r="O1489" s="1">
        <v>1181</v>
      </c>
      <c r="P1489" s="1">
        <v>443</v>
      </c>
      <c r="Q1489" s="1" t="s">
        <v>42</v>
      </c>
      <c r="S1489" s="1" t="s">
        <v>42</v>
      </c>
      <c r="T1489" s="1" t="s">
        <v>153</v>
      </c>
      <c r="V1489" s="5">
        <v>43663</v>
      </c>
      <c r="W1489" s="5">
        <v>42292</v>
      </c>
      <c r="X1489" s="1">
        <v>724900</v>
      </c>
      <c r="Y1489" s="1">
        <v>724900</v>
      </c>
      <c r="Z1489" s="5">
        <v>42292</v>
      </c>
      <c r="AA1489" s="1">
        <v>570425</v>
      </c>
      <c r="AB1489" s="1" t="s">
        <v>1295</v>
      </c>
      <c r="AC1489" s="5">
        <v>42528</v>
      </c>
      <c r="AF1489" s="1">
        <v>10033</v>
      </c>
      <c r="AJ1489" s="1">
        <v>1954</v>
      </c>
      <c r="AL1489" s="1">
        <v>60</v>
      </c>
    </row>
    <row r="1490" spans="1:38" x14ac:dyDescent="0.2">
      <c r="A1490" s="2" t="str">
        <f>HYPERLINK("https://www.compass.com/listing/69-bennett-avenue-unit-112-manhattan-ny-10033/4861052698239182673/","69 Bennett Ave, Unit 112")</f>
        <v>69 Bennett Ave, Unit 112</v>
      </c>
      <c r="B1490" s="2" t="str">
        <f t="shared" si="226"/>
        <v>69 Bennett Ave</v>
      </c>
      <c r="C1490" s="1" t="s">
        <v>122</v>
      </c>
      <c r="D1490" s="1" t="s">
        <v>41</v>
      </c>
      <c r="E1490" s="3">
        <v>520000</v>
      </c>
      <c r="F1490" s="1">
        <v>645.96273291925399</v>
      </c>
      <c r="G1490" s="1">
        <v>4</v>
      </c>
      <c r="H1490" s="1">
        <v>2</v>
      </c>
      <c r="I1490" s="1">
        <v>1</v>
      </c>
      <c r="J1490" s="1">
        <v>1</v>
      </c>
      <c r="M1490" s="1">
        <v>805</v>
      </c>
      <c r="N1490" s="1">
        <v>611</v>
      </c>
      <c r="O1490" s="1">
        <v>979</v>
      </c>
      <c r="P1490" s="1">
        <v>368</v>
      </c>
      <c r="Q1490" s="1" t="s">
        <v>42</v>
      </c>
      <c r="S1490" s="1" t="s">
        <v>42</v>
      </c>
      <c r="T1490" s="1" t="s">
        <v>153</v>
      </c>
      <c r="U1490" s="1">
        <v>357</v>
      </c>
      <c r="V1490" s="5">
        <v>43649</v>
      </c>
      <c r="W1490" s="5">
        <v>42831</v>
      </c>
      <c r="X1490" s="1">
        <v>567600</v>
      </c>
      <c r="Y1490" s="1">
        <v>520000</v>
      </c>
      <c r="Z1490" s="5">
        <v>43188</v>
      </c>
      <c r="AA1490" s="1">
        <v>520000</v>
      </c>
      <c r="AB1490" s="1" t="s">
        <v>177</v>
      </c>
      <c r="AC1490" s="5">
        <v>43231</v>
      </c>
      <c r="AF1490" s="1">
        <v>10033</v>
      </c>
      <c r="AJ1490" s="1">
        <v>1954</v>
      </c>
      <c r="AL1490" s="1">
        <v>60</v>
      </c>
    </row>
    <row r="1491" spans="1:38" x14ac:dyDescent="0.2">
      <c r="A1491" s="2" t="str">
        <f>HYPERLINK("https://www.compass.com/listing/69-bennett-avenue-unit-503-manhattan-ny-10033/543360020476490297/","69 Bennett Ave, Unit 503")</f>
        <v>69 Bennett Ave, Unit 503</v>
      </c>
      <c r="B1491" s="2" t="str">
        <f t="shared" si="226"/>
        <v>69 Bennett Ave</v>
      </c>
      <c r="C1491" s="1" t="s">
        <v>122</v>
      </c>
      <c r="D1491" s="1" t="s">
        <v>41</v>
      </c>
      <c r="E1491" s="3">
        <v>560000</v>
      </c>
      <c r="F1491" s="1">
        <v>614.03508771929796</v>
      </c>
      <c r="G1491" s="1">
        <v>4</v>
      </c>
      <c r="H1491" s="1">
        <v>2</v>
      </c>
      <c r="I1491" s="1">
        <v>1</v>
      </c>
      <c r="J1491" s="1">
        <v>1</v>
      </c>
      <c r="K1491" s="1">
        <v>1</v>
      </c>
      <c r="M1491" s="1">
        <v>912</v>
      </c>
      <c r="N1491" s="1">
        <v>646</v>
      </c>
      <c r="O1491" s="1">
        <v>1157</v>
      </c>
      <c r="P1491" s="1">
        <v>511</v>
      </c>
      <c r="Q1491" s="1" t="s">
        <v>42</v>
      </c>
      <c r="S1491" s="1" t="s">
        <v>42</v>
      </c>
      <c r="T1491" s="1" t="s">
        <v>153</v>
      </c>
      <c r="U1491" s="1">
        <v>92</v>
      </c>
      <c r="V1491" s="5">
        <v>44097</v>
      </c>
      <c r="W1491" s="5">
        <v>44001</v>
      </c>
      <c r="X1491" s="1">
        <v>650000</v>
      </c>
      <c r="Y1491" s="1">
        <v>585000</v>
      </c>
      <c r="AA1491" s="1">
        <v>560000</v>
      </c>
      <c r="AB1491" s="1" t="s">
        <v>1296</v>
      </c>
      <c r="AC1491" s="5">
        <v>44179</v>
      </c>
      <c r="AF1491" s="1">
        <v>10033</v>
      </c>
      <c r="AJ1491" s="1">
        <v>1954</v>
      </c>
      <c r="AL1491" s="1">
        <v>60</v>
      </c>
    </row>
    <row r="1492" spans="1:38" x14ac:dyDescent="0.2">
      <c r="A1492" s="2" t="str">
        <f>HYPERLINK("https://www.compass.com/listing/69-bennett-avenue-unit-205-manhattan-ny-10033/700634631382580841/","69 Bennett Ave, Unit 205")</f>
        <v>69 Bennett Ave, Unit 205</v>
      </c>
      <c r="B1492" s="2" t="str">
        <f t="shared" si="226"/>
        <v>69 Bennett Ave</v>
      </c>
      <c r="C1492" s="1" t="s">
        <v>122</v>
      </c>
      <c r="D1492" s="1" t="s">
        <v>41</v>
      </c>
      <c r="E1492" s="3">
        <v>465000</v>
      </c>
      <c r="F1492" s="1">
        <v>616.71087533156503</v>
      </c>
      <c r="G1492" s="1">
        <v>3</v>
      </c>
      <c r="H1492" s="1">
        <v>1</v>
      </c>
      <c r="I1492" s="1">
        <v>1</v>
      </c>
      <c r="J1492" s="1">
        <v>1</v>
      </c>
      <c r="K1492" s="1">
        <v>1</v>
      </c>
      <c r="M1492" s="1">
        <v>754</v>
      </c>
      <c r="N1492" s="1">
        <v>520</v>
      </c>
      <c r="O1492" s="1">
        <v>917</v>
      </c>
      <c r="P1492" s="1">
        <v>397</v>
      </c>
      <c r="Q1492" s="1" t="s">
        <v>114</v>
      </c>
      <c r="S1492" s="1" t="s">
        <v>42</v>
      </c>
      <c r="T1492" s="1" t="s">
        <v>153</v>
      </c>
      <c r="V1492" s="5">
        <v>44345</v>
      </c>
      <c r="W1492" s="5">
        <v>44218</v>
      </c>
      <c r="Y1492" s="1">
        <v>475000</v>
      </c>
      <c r="Z1492" s="5">
        <v>44218</v>
      </c>
      <c r="AA1492" s="1">
        <v>465000</v>
      </c>
      <c r="AB1492" s="1" t="s">
        <v>1297</v>
      </c>
      <c r="AC1492" s="5">
        <v>44336</v>
      </c>
      <c r="AF1492" s="1">
        <v>10033</v>
      </c>
      <c r="AJ1492" s="1">
        <v>1954</v>
      </c>
      <c r="AL1492" s="1">
        <v>60</v>
      </c>
    </row>
    <row r="1493" spans="1:38" x14ac:dyDescent="0.2">
      <c r="A1493" s="2" t="str">
        <f>HYPERLINK("https://www.compass.com/listing/69-bennett-avenue-unit-101-manhattan-ny-10033/29436859436295617/","69 Bennett Ave, Unit 101")</f>
        <v>69 Bennett Ave, Unit 101</v>
      </c>
      <c r="B1493" s="2" t="str">
        <f t="shared" si="226"/>
        <v>69 Bennett Ave</v>
      </c>
      <c r="C1493" s="1" t="s">
        <v>122</v>
      </c>
      <c r="D1493" s="1" t="s">
        <v>41</v>
      </c>
      <c r="E1493" s="3">
        <v>380250</v>
      </c>
      <c r="F1493" s="1">
        <v>641.23102866779004</v>
      </c>
      <c r="G1493" s="1">
        <v>2.5</v>
      </c>
      <c r="H1493" s="1">
        <v>1</v>
      </c>
      <c r="I1493" s="1">
        <v>1</v>
      </c>
      <c r="J1493" s="1">
        <v>1</v>
      </c>
      <c r="M1493" s="1">
        <v>593</v>
      </c>
      <c r="N1493" s="1">
        <v>437</v>
      </c>
      <c r="O1493" s="1">
        <v>700</v>
      </c>
      <c r="P1493" s="1">
        <v>263</v>
      </c>
      <c r="Q1493" s="1" t="s">
        <v>42</v>
      </c>
      <c r="S1493" s="1" t="s">
        <v>42</v>
      </c>
      <c r="T1493" s="1" t="s">
        <v>153</v>
      </c>
      <c r="U1493" s="1">
        <v>114</v>
      </c>
      <c r="V1493" s="5">
        <v>43677</v>
      </c>
      <c r="W1493" s="5">
        <v>42258</v>
      </c>
      <c r="X1493" s="1">
        <v>385000</v>
      </c>
      <c r="Y1493" s="1">
        <v>385000</v>
      </c>
      <c r="Z1493" s="5">
        <v>42372</v>
      </c>
      <c r="AA1493" s="1">
        <v>380250</v>
      </c>
      <c r="AB1493" s="1" t="s">
        <v>1298</v>
      </c>
      <c r="AC1493" s="5">
        <v>42527</v>
      </c>
      <c r="AF1493" s="1">
        <v>10033</v>
      </c>
      <c r="AJ1493" s="1">
        <v>1954</v>
      </c>
      <c r="AL1493" s="1">
        <v>60</v>
      </c>
    </row>
    <row r="1494" spans="1:38" x14ac:dyDescent="0.2">
      <c r="A1494" s="2" t="str">
        <f>HYPERLINK("https://www.compass.com/listing/69-bennett-avenue-unit-110-manhattan-ny-10033/29436860250052049/","69 Bennett Ave, Unit 110")</f>
        <v>69 Bennett Ave, Unit 110</v>
      </c>
      <c r="B1494" s="2" t="str">
        <f t="shared" si="226"/>
        <v>69 Bennett Ave</v>
      </c>
      <c r="C1494" s="1" t="s">
        <v>122</v>
      </c>
      <c r="D1494" s="1" t="s">
        <v>41</v>
      </c>
      <c r="E1494" s="3">
        <v>395967</v>
      </c>
      <c r="F1494" s="1">
        <v>622.58962264150898</v>
      </c>
      <c r="G1494" s="1">
        <v>3</v>
      </c>
      <c r="H1494" s="1">
        <v>1</v>
      </c>
      <c r="I1494" s="1">
        <v>1</v>
      </c>
      <c r="J1494" s="1">
        <v>1</v>
      </c>
      <c r="M1494" s="1">
        <v>636</v>
      </c>
      <c r="N1494" s="1">
        <v>469</v>
      </c>
      <c r="O1494" s="1">
        <v>751</v>
      </c>
      <c r="P1494" s="1">
        <v>282</v>
      </c>
      <c r="Q1494" s="1" t="s">
        <v>42</v>
      </c>
      <c r="S1494" s="1" t="s">
        <v>42</v>
      </c>
      <c r="T1494" s="1" t="s">
        <v>153</v>
      </c>
      <c r="U1494" s="1">
        <v>119</v>
      </c>
      <c r="V1494" s="5">
        <v>43673</v>
      </c>
      <c r="W1494" s="5">
        <v>42424</v>
      </c>
      <c r="X1494" s="1">
        <v>412500</v>
      </c>
      <c r="Y1494" s="1">
        <v>412500</v>
      </c>
      <c r="Z1494" s="5">
        <v>42543</v>
      </c>
      <c r="AA1494" s="1">
        <v>395967</v>
      </c>
      <c r="AB1494" s="1" t="s">
        <v>1299</v>
      </c>
      <c r="AC1494" s="5">
        <v>42605</v>
      </c>
      <c r="AF1494" s="1">
        <v>10033</v>
      </c>
      <c r="AJ1494" s="1">
        <v>1954</v>
      </c>
      <c r="AL1494" s="1">
        <v>60</v>
      </c>
    </row>
    <row r="1495" spans="1:38" x14ac:dyDescent="0.2">
      <c r="A1495" s="2" t="str">
        <f>HYPERLINK("https://www.compass.com/listing/69-bennett-avenue-unit-501-manhattan-ny-10033/29436864595351057/","69 Bennett Ave, Unit 501")</f>
        <v>69 Bennett Ave, Unit 501</v>
      </c>
      <c r="B1495" s="2" t="str">
        <f t="shared" si="226"/>
        <v>69 Bennett Ave</v>
      </c>
      <c r="C1495" s="1" t="s">
        <v>122</v>
      </c>
      <c r="D1495" s="1" t="s">
        <v>41</v>
      </c>
      <c r="E1495" s="3">
        <v>430546</v>
      </c>
      <c r="F1495" s="1">
        <v>726.04721753794195</v>
      </c>
      <c r="G1495" s="1">
        <v>3</v>
      </c>
      <c r="H1495" s="1">
        <v>1</v>
      </c>
      <c r="I1495" s="1">
        <v>1</v>
      </c>
      <c r="J1495" s="1">
        <v>1</v>
      </c>
      <c r="M1495" s="1">
        <v>593</v>
      </c>
      <c r="N1495" s="1">
        <v>453</v>
      </c>
      <c r="O1495" s="1">
        <v>725</v>
      </c>
      <c r="P1495" s="1">
        <v>272</v>
      </c>
      <c r="Q1495" s="1" t="s">
        <v>42</v>
      </c>
      <c r="S1495" s="1" t="s">
        <v>42</v>
      </c>
      <c r="T1495" s="1" t="s">
        <v>153</v>
      </c>
      <c r="U1495" s="1">
        <v>31</v>
      </c>
      <c r="V1495" s="5">
        <v>43673</v>
      </c>
      <c r="W1495" s="5">
        <v>42424</v>
      </c>
      <c r="X1495" s="1">
        <v>424600</v>
      </c>
      <c r="Y1495" s="1">
        <v>424600</v>
      </c>
      <c r="Z1495" s="5">
        <v>42455</v>
      </c>
      <c r="AA1495" s="1">
        <v>430546</v>
      </c>
      <c r="AB1495" s="1" t="s">
        <v>1300</v>
      </c>
      <c r="AC1495" s="5">
        <v>42613</v>
      </c>
      <c r="AF1495" s="1">
        <v>10033</v>
      </c>
      <c r="AJ1495" s="1">
        <v>1954</v>
      </c>
      <c r="AL1495" s="1">
        <v>60</v>
      </c>
    </row>
    <row r="1496" spans="1:38" x14ac:dyDescent="0.2">
      <c r="A1496" s="2" t="str">
        <f>HYPERLINK("https://www.compass.com/listing/105-bennett-avenue-unit-53a-manhattan-ny-10033/75360132476714945/","105 Bennett Ave, Unit 53A")</f>
        <v>105 Bennett Ave, Unit 53A</v>
      </c>
      <c r="B1496" s="2" t="str">
        <f>HYPERLINK("https://www.compass.com/building/105-bennett-ave-manhattan-ny-10033/282010034911706389/","105 Bennett Ave")</f>
        <v>105 Bennett Ave</v>
      </c>
      <c r="C1496" s="1" t="s">
        <v>122</v>
      </c>
      <c r="D1496" s="1" t="s">
        <v>41</v>
      </c>
      <c r="E1496" s="3">
        <v>515000</v>
      </c>
      <c r="F1496" s="1">
        <v>692.20430107526795</v>
      </c>
      <c r="G1496" s="1">
        <v>4</v>
      </c>
      <c r="H1496" s="1">
        <v>2</v>
      </c>
      <c r="I1496" s="1">
        <v>1</v>
      </c>
      <c r="J1496" s="1">
        <v>1</v>
      </c>
      <c r="K1496" s="1">
        <v>1</v>
      </c>
      <c r="M1496" s="1">
        <v>744</v>
      </c>
      <c r="N1496" s="1">
        <v>489</v>
      </c>
      <c r="O1496" s="1">
        <v>766</v>
      </c>
      <c r="P1496" s="1">
        <v>277</v>
      </c>
      <c r="Q1496" s="1" t="s">
        <v>42</v>
      </c>
      <c r="S1496" s="1" t="s">
        <v>42</v>
      </c>
      <c r="T1496" s="1" t="s">
        <v>153</v>
      </c>
      <c r="U1496" s="1">
        <v>36</v>
      </c>
      <c r="V1496" s="5">
        <v>43626</v>
      </c>
      <c r="W1496" s="5">
        <v>43356</v>
      </c>
      <c r="X1496" s="1">
        <v>525000</v>
      </c>
      <c r="Y1496" s="1">
        <v>525000</v>
      </c>
      <c r="Z1496" s="5">
        <v>43392</v>
      </c>
      <c r="AA1496" s="1">
        <v>515000</v>
      </c>
      <c r="AB1496" s="1" t="s">
        <v>1301</v>
      </c>
      <c r="AC1496" s="5">
        <v>43455</v>
      </c>
      <c r="AF1496" s="1">
        <v>10033</v>
      </c>
      <c r="AJ1496" s="1">
        <v>1939</v>
      </c>
      <c r="AL1496" s="1">
        <v>65</v>
      </c>
    </row>
    <row r="1497" spans="1:38" x14ac:dyDescent="0.2">
      <c r="A1497" s="2" t="str">
        <f>HYPERLINK("https://www.compass.com/listing/69-bennett-avenue-unit-508-manhattan-ny-10033/695013026551325313/","69 Bennett Ave, Unit 508")</f>
        <v>69 Bennett Ave, Unit 508</v>
      </c>
      <c r="B1497" s="2" t="str">
        <f>HYPERLINK("https://www.compass.com/building/69-bennett-ave-manhattan-ny-10033/282013522349526869/","69 Bennett Ave")</f>
        <v>69 Bennett Ave</v>
      </c>
      <c r="C1497" s="1" t="s">
        <v>122</v>
      </c>
      <c r="D1497" s="1" t="s">
        <v>41</v>
      </c>
      <c r="E1497" s="3">
        <v>395000</v>
      </c>
      <c r="F1497" s="1">
        <v>699.11504424778695</v>
      </c>
      <c r="G1497" s="1">
        <v>2</v>
      </c>
      <c r="H1497" s="1" t="s">
        <v>94</v>
      </c>
      <c r="I1497" s="1">
        <v>1</v>
      </c>
      <c r="J1497" s="1">
        <v>1</v>
      </c>
      <c r="K1497" s="1">
        <v>1</v>
      </c>
      <c r="M1497" s="1">
        <v>565</v>
      </c>
      <c r="N1497" s="1">
        <v>388</v>
      </c>
      <c r="O1497" s="1">
        <v>685</v>
      </c>
      <c r="P1497" s="1">
        <v>297</v>
      </c>
      <c r="Q1497" s="1" t="s">
        <v>114</v>
      </c>
      <c r="S1497" s="1" t="s">
        <v>42</v>
      </c>
      <c r="T1497" s="1" t="s">
        <v>153</v>
      </c>
      <c r="U1497" s="1">
        <v>40</v>
      </c>
      <c r="V1497" s="5">
        <v>44345</v>
      </c>
      <c r="W1497" s="5">
        <v>44211</v>
      </c>
      <c r="X1497" s="1">
        <v>395000</v>
      </c>
      <c r="Y1497" s="1">
        <v>395000</v>
      </c>
      <c r="Z1497" s="5">
        <v>44252</v>
      </c>
      <c r="AA1497" s="1">
        <v>395000</v>
      </c>
      <c r="AB1497" s="1" t="s">
        <v>1302</v>
      </c>
      <c r="AC1497" s="5">
        <v>44314</v>
      </c>
      <c r="AF1497" s="1">
        <v>10033</v>
      </c>
      <c r="AJ1497" s="1">
        <v>1954</v>
      </c>
      <c r="AL1497" s="1">
        <v>60</v>
      </c>
    </row>
    <row r="1498" spans="1:38" x14ac:dyDescent="0.2">
      <c r="A1498" s="2" t="str">
        <f>HYPERLINK("https://www.compass.com/listing/105-bennett-avenue-unit-12hb-manhattan-ny-10033/29436873470497057/","105 Bennett Ave, Unit 12HB")</f>
        <v>105 Bennett Ave, Unit 12HB</v>
      </c>
      <c r="B1498" s="2" t="str">
        <f>HYPERLINK("https://www.compass.com/building/105-bennett-ave-manhattan-ny-10033/282010034911706389/","105 Bennett Ave")</f>
        <v>105 Bennett Ave</v>
      </c>
      <c r="C1498" s="1" t="s">
        <v>122</v>
      </c>
      <c r="D1498" s="1" t="s">
        <v>41</v>
      </c>
      <c r="E1498" s="3">
        <v>400530</v>
      </c>
      <c r="F1498" s="1">
        <v>560.96638655462095</v>
      </c>
      <c r="G1498" s="1">
        <v>3</v>
      </c>
      <c r="H1498" s="1">
        <v>1</v>
      </c>
      <c r="I1498" s="1">
        <v>1</v>
      </c>
      <c r="J1498" s="1">
        <v>1</v>
      </c>
      <c r="M1498" s="1">
        <v>714</v>
      </c>
      <c r="N1498" s="1">
        <v>446</v>
      </c>
      <c r="O1498" s="1">
        <v>655</v>
      </c>
      <c r="P1498" s="1">
        <v>209</v>
      </c>
      <c r="Q1498" s="1" t="s">
        <v>42</v>
      </c>
      <c r="S1498" s="1" t="s">
        <v>42</v>
      </c>
      <c r="T1498" s="1" t="s">
        <v>153</v>
      </c>
      <c r="U1498" s="1">
        <v>96</v>
      </c>
      <c r="V1498" s="5">
        <v>43626</v>
      </c>
      <c r="W1498" s="5">
        <v>42461</v>
      </c>
      <c r="X1498" s="1">
        <v>439000</v>
      </c>
      <c r="Y1498" s="1">
        <v>395000</v>
      </c>
      <c r="Z1498" s="5">
        <v>42557</v>
      </c>
      <c r="AA1498" s="1">
        <v>400530</v>
      </c>
      <c r="AB1498" s="1" t="s">
        <v>1303</v>
      </c>
      <c r="AC1498" s="5">
        <v>42761</v>
      </c>
      <c r="AF1498" s="1">
        <v>10033</v>
      </c>
      <c r="AJ1498" s="1">
        <v>1939</v>
      </c>
      <c r="AL1498" s="1">
        <v>65</v>
      </c>
    </row>
    <row r="1499" spans="1:38" x14ac:dyDescent="0.2">
      <c r="A1499" s="2" t="str">
        <f>HYPERLINK("https://www.compass.com/listing/69-bennett-avenue-unit-610-manhattan-ny-10033/29436866440843441/","69 Bennett Ave, Unit 610")</f>
        <v>69 Bennett Ave, Unit 610</v>
      </c>
      <c r="B1499" s="2" t="str">
        <f t="shared" ref="B1499:B1500" si="227">HYPERLINK("https://www.compass.com/building/69-bennett-ave-manhattan-ny-10033/282013522349526869/","69 Bennett Ave")</f>
        <v>69 Bennett Ave</v>
      </c>
      <c r="C1499" s="1" t="s">
        <v>122</v>
      </c>
      <c r="D1499" s="1" t="s">
        <v>41</v>
      </c>
      <c r="E1499" s="3">
        <v>471815</v>
      </c>
      <c r="F1499" s="1">
        <v>741.84748427672901</v>
      </c>
      <c r="G1499" s="1">
        <v>3</v>
      </c>
      <c r="H1499" s="1">
        <v>1</v>
      </c>
      <c r="I1499" s="1">
        <v>1</v>
      </c>
      <c r="J1499" s="1">
        <v>1</v>
      </c>
      <c r="M1499" s="1">
        <v>636</v>
      </c>
      <c r="N1499" s="1">
        <v>490</v>
      </c>
      <c r="O1499" s="1">
        <v>784</v>
      </c>
      <c r="P1499" s="1">
        <v>294</v>
      </c>
      <c r="Q1499" s="1" t="s">
        <v>42</v>
      </c>
      <c r="S1499" s="1" t="s">
        <v>42</v>
      </c>
      <c r="T1499" s="1" t="s">
        <v>153</v>
      </c>
      <c r="U1499" s="1">
        <v>33</v>
      </c>
      <c r="V1499" s="5">
        <v>43677</v>
      </c>
      <c r="W1499" s="5">
        <v>42258</v>
      </c>
      <c r="X1499" s="1">
        <v>465300</v>
      </c>
      <c r="Y1499" s="1">
        <v>465300</v>
      </c>
      <c r="Z1499" s="5">
        <v>42291</v>
      </c>
      <c r="AA1499" s="1">
        <v>471815</v>
      </c>
      <c r="AB1499" s="1" t="s">
        <v>1304</v>
      </c>
      <c r="AC1499" s="5">
        <v>42527</v>
      </c>
      <c r="AF1499" s="1">
        <v>10033</v>
      </c>
      <c r="AJ1499" s="1">
        <v>1954</v>
      </c>
      <c r="AL1499" s="1">
        <v>60</v>
      </c>
    </row>
    <row r="1500" spans="1:38" x14ac:dyDescent="0.2">
      <c r="A1500" s="2" t="str">
        <f>HYPERLINK("https://www.compass.com/listing/69-bennett-avenue-unit-306-manhattan-ny-10033/29436862674298353/","69 Bennett Ave, Unit 306")</f>
        <v>69 Bennett Ave, Unit 306</v>
      </c>
      <c r="B1500" s="2" t="str">
        <f t="shared" si="227"/>
        <v>69 Bennett Ave</v>
      </c>
      <c r="C1500" s="1" t="s">
        <v>122</v>
      </c>
      <c r="D1500" s="1" t="s">
        <v>41</v>
      </c>
      <c r="E1500" s="3">
        <v>626500</v>
      </c>
      <c r="F1500" s="1">
        <v>667.19914802981896</v>
      </c>
      <c r="G1500" s="1">
        <v>4</v>
      </c>
      <c r="H1500" s="1">
        <v>2</v>
      </c>
      <c r="I1500" s="1">
        <v>1</v>
      </c>
      <c r="J1500" s="1">
        <v>1</v>
      </c>
      <c r="M1500" s="1">
        <v>939</v>
      </c>
      <c r="N1500" s="1">
        <v>725</v>
      </c>
      <c r="O1500" s="1">
        <v>1160</v>
      </c>
      <c r="P1500" s="1">
        <v>435</v>
      </c>
      <c r="Q1500" s="1" t="s">
        <v>42</v>
      </c>
      <c r="S1500" s="1" t="s">
        <v>42</v>
      </c>
      <c r="T1500" s="1" t="s">
        <v>153</v>
      </c>
      <c r="U1500" s="1">
        <v>338</v>
      </c>
      <c r="V1500" s="5">
        <v>43675</v>
      </c>
      <c r="W1500" s="5">
        <v>42199</v>
      </c>
      <c r="X1500" s="1">
        <v>630000</v>
      </c>
      <c r="Y1500" s="1">
        <v>693000</v>
      </c>
      <c r="Z1500" s="5">
        <v>42537</v>
      </c>
      <c r="AA1500" s="1">
        <v>626500</v>
      </c>
      <c r="AB1500" s="1" t="s">
        <v>1305</v>
      </c>
      <c r="AC1500" s="5">
        <v>42608</v>
      </c>
      <c r="AF1500" s="1">
        <v>10033</v>
      </c>
      <c r="AJ1500" s="1">
        <v>1954</v>
      </c>
      <c r="AL1500" s="1">
        <v>60</v>
      </c>
    </row>
    <row r="1501" spans="1:38" x14ac:dyDescent="0.2">
      <c r="A1501" s="2" t="str">
        <f>HYPERLINK("https://www.compass.com/listing/105-bennett-avenue-unit-24b-manhattan-ny-10033/29436869141976657/","105 Bennett Ave, Unit 24B")</f>
        <v>105 Bennett Ave, Unit 24B</v>
      </c>
      <c r="B1501" s="2" t="str">
        <f>HYPERLINK("https://www.compass.com/building/105-bennett-ave-manhattan-ny-10033/282010034911706389/","105 Bennett Ave")</f>
        <v>105 Bennett Ave</v>
      </c>
      <c r="C1501" s="1" t="s">
        <v>122</v>
      </c>
      <c r="D1501" s="1" t="s">
        <v>41</v>
      </c>
      <c r="E1501" s="3">
        <v>460000</v>
      </c>
      <c r="F1501" s="1">
        <v>620.78272604588301</v>
      </c>
      <c r="G1501" s="1">
        <v>3</v>
      </c>
      <c r="H1501" s="1">
        <v>1</v>
      </c>
      <c r="I1501" s="1">
        <v>1</v>
      </c>
      <c r="J1501" s="1">
        <v>1</v>
      </c>
      <c r="M1501" s="1">
        <v>741</v>
      </c>
      <c r="N1501" s="1">
        <v>477</v>
      </c>
      <c r="O1501" s="1">
        <v>700</v>
      </c>
      <c r="P1501" s="1">
        <v>223</v>
      </c>
      <c r="Q1501" s="1" t="s">
        <v>42</v>
      </c>
      <c r="S1501" s="1" t="s">
        <v>42</v>
      </c>
      <c r="T1501" s="1" t="s">
        <v>153</v>
      </c>
      <c r="V1501" s="5">
        <v>43626</v>
      </c>
      <c r="W1501" s="5">
        <v>42714</v>
      </c>
      <c r="X1501" s="1">
        <v>504000</v>
      </c>
      <c r="Y1501" s="1">
        <v>504000</v>
      </c>
      <c r="Z1501" s="5">
        <v>42714</v>
      </c>
      <c r="AA1501" s="1">
        <v>460000</v>
      </c>
      <c r="AB1501" s="1" t="s">
        <v>1306</v>
      </c>
      <c r="AC1501" s="5">
        <v>42762</v>
      </c>
      <c r="AF1501" s="1">
        <v>10033</v>
      </c>
      <c r="AJ1501" s="1">
        <v>1939</v>
      </c>
      <c r="AL1501" s="1">
        <v>65</v>
      </c>
    </row>
    <row r="1502" spans="1:38" x14ac:dyDescent="0.2">
      <c r="A1502" s="2" t="str">
        <f>HYPERLINK("https://www.compass.com/listing/323-east-52nd-street-unit-2-manhattan-ny-10022/355728491522704817/","323 E 52nd St, Unit 2")</f>
        <v>323 E 52nd St, Unit 2</v>
      </c>
      <c r="B1502" s="2" t="str">
        <f>HYPERLINK("https://www.compass.com/building/la-maison-manhattan-ny/281954006501233333/","La Maison")</f>
        <v>La Maison</v>
      </c>
      <c r="C1502" s="1" t="s">
        <v>1307</v>
      </c>
      <c r="D1502" s="1" t="s">
        <v>41</v>
      </c>
      <c r="E1502" s="3">
        <v>1600000</v>
      </c>
      <c r="F1502" s="1">
        <v>1350.21097046413</v>
      </c>
      <c r="G1502" s="1">
        <v>4</v>
      </c>
      <c r="H1502" s="1">
        <v>2</v>
      </c>
      <c r="I1502" s="1">
        <v>2</v>
      </c>
      <c r="J1502" s="1">
        <v>2</v>
      </c>
      <c r="K1502" s="1">
        <v>2</v>
      </c>
      <c r="M1502" s="4">
        <v>1185</v>
      </c>
      <c r="N1502" s="1">
        <v>1047</v>
      </c>
      <c r="O1502" s="1">
        <v>1618</v>
      </c>
      <c r="P1502" s="1">
        <v>571</v>
      </c>
      <c r="Q1502" s="1" t="s">
        <v>42</v>
      </c>
      <c r="S1502" s="1" t="s">
        <v>42</v>
      </c>
      <c r="T1502" s="1" t="s">
        <v>153</v>
      </c>
      <c r="U1502" s="1">
        <v>167</v>
      </c>
      <c r="V1502" s="5">
        <v>44399</v>
      </c>
      <c r="W1502" s="5">
        <v>43743</v>
      </c>
      <c r="X1502" s="1">
        <v>1825000</v>
      </c>
      <c r="Y1502" s="1">
        <v>1695000</v>
      </c>
      <c r="Z1502" s="5">
        <v>43972</v>
      </c>
      <c r="AA1502" s="1">
        <v>1600000</v>
      </c>
      <c r="AB1502" s="1" t="s">
        <v>1308</v>
      </c>
      <c r="AC1502" s="5">
        <v>44090</v>
      </c>
      <c r="AF1502" s="1">
        <v>10022</v>
      </c>
      <c r="AI1502" s="1" t="s">
        <v>364</v>
      </c>
      <c r="AJ1502" s="1">
        <v>2018</v>
      </c>
      <c r="AL1502" s="1">
        <v>4</v>
      </c>
    </row>
    <row r="1503" spans="1:38" x14ac:dyDescent="0.2">
      <c r="A1503" s="2" t="str">
        <f>HYPERLINK("https://www.compass.com/listing/69-bennett-avenue-unit-201-manhattan-ny-10033/29436860677809617/","69 Bennett Ave, Unit 201")</f>
        <v>69 Bennett Ave, Unit 201</v>
      </c>
      <c r="B1503" s="2" t="str">
        <f>HYPERLINK("https://www.compass.com/building/69-bennett-ave-manhattan-ny-10033/282013522349526869/","69 Bennett Ave")</f>
        <v>69 Bennett Ave</v>
      </c>
      <c r="C1503" s="1" t="s">
        <v>122</v>
      </c>
      <c r="D1503" s="1" t="s">
        <v>41</v>
      </c>
      <c r="E1503" s="3">
        <v>369096</v>
      </c>
      <c r="F1503" s="1">
        <v>622.42158516020197</v>
      </c>
      <c r="G1503" s="1">
        <v>3</v>
      </c>
      <c r="H1503" s="1">
        <v>1</v>
      </c>
      <c r="I1503" s="1">
        <v>1</v>
      </c>
      <c r="J1503" s="1">
        <v>1</v>
      </c>
      <c r="M1503" s="1">
        <v>593</v>
      </c>
      <c r="N1503" s="1">
        <v>441</v>
      </c>
      <c r="O1503" s="1">
        <v>706</v>
      </c>
      <c r="P1503" s="1">
        <v>265</v>
      </c>
      <c r="Q1503" s="1" t="s">
        <v>42</v>
      </c>
      <c r="S1503" s="1" t="s">
        <v>42</v>
      </c>
      <c r="T1503" s="1" t="s">
        <v>153</v>
      </c>
      <c r="V1503" s="5">
        <v>43678</v>
      </c>
      <c r="W1503" s="5">
        <v>42258</v>
      </c>
      <c r="X1503" s="1">
        <v>394900</v>
      </c>
      <c r="Y1503" s="1">
        <v>394900</v>
      </c>
      <c r="Z1503" s="5">
        <v>42258</v>
      </c>
      <c r="AA1503" s="1">
        <v>369096</v>
      </c>
      <c r="AB1503" s="1" t="s">
        <v>1309</v>
      </c>
      <c r="AC1503" s="5">
        <v>42524</v>
      </c>
      <c r="AF1503" s="1">
        <v>10033</v>
      </c>
      <c r="AJ1503" s="1">
        <v>1954</v>
      </c>
      <c r="AL1503" s="1">
        <v>60</v>
      </c>
    </row>
    <row r="1504" spans="1:38" x14ac:dyDescent="0.2">
      <c r="A1504" s="2" t="str">
        <f>HYPERLINK("https://www.compass.com/listing/1325-5th-avenue-unit-6h-manhattan-ny-10029/699187361184755673/","1325 5th Ave, Unit 6H")</f>
        <v>1325 5th Ave, Unit 6H</v>
      </c>
      <c r="B1504" s="2" t="str">
        <f>HYPERLINK("https://www.compass.com/building/the-fifth-avenue-manhattan-ny/294843719022876805/","The Fifth Avenue")</f>
        <v>The Fifth Avenue</v>
      </c>
      <c r="C1504" s="1" t="s">
        <v>60</v>
      </c>
      <c r="D1504" s="1" t="s">
        <v>41</v>
      </c>
      <c r="E1504" s="3">
        <v>975000</v>
      </c>
      <c r="F1504" s="1">
        <v>1060.9357997823699</v>
      </c>
      <c r="G1504" s="1">
        <v>4</v>
      </c>
      <c r="H1504" s="1">
        <v>2</v>
      </c>
      <c r="I1504" s="1">
        <v>2</v>
      </c>
      <c r="J1504" s="1">
        <v>2</v>
      </c>
      <c r="K1504" s="1">
        <v>2</v>
      </c>
      <c r="M1504" s="1">
        <v>919</v>
      </c>
      <c r="N1504" s="1">
        <v>1125.68</v>
      </c>
      <c r="O1504" s="1">
        <v>1691.32</v>
      </c>
      <c r="P1504" s="1">
        <v>565.66666666666595</v>
      </c>
      <c r="Q1504" s="1" t="s">
        <v>42</v>
      </c>
      <c r="S1504" s="1" t="s">
        <v>42</v>
      </c>
      <c r="T1504" s="1" t="s">
        <v>153</v>
      </c>
      <c r="U1504" s="1">
        <v>91</v>
      </c>
      <c r="V1504" s="5">
        <v>44399</v>
      </c>
      <c r="W1504" s="5">
        <v>44216</v>
      </c>
      <c r="X1504" s="1">
        <v>985000</v>
      </c>
      <c r="Y1504" s="1">
        <v>985000</v>
      </c>
      <c r="Z1504" s="5">
        <v>44308</v>
      </c>
      <c r="AA1504" s="1">
        <v>975000</v>
      </c>
      <c r="AB1504" s="1" t="s">
        <v>1310</v>
      </c>
      <c r="AC1504" s="5">
        <v>44369</v>
      </c>
      <c r="AF1504" s="1">
        <v>10029</v>
      </c>
      <c r="AI1504" s="1" t="s">
        <v>113</v>
      </c>
      <c r="AJ1504" s="1">
        <v>1989</v>
      </c>
      <c r="AK1504" s="1" t="s">
        <v>46</v>
      </c>
      <c r="AL1504" s="1">
        <v>71</v>
      </c>
    </row>
    <row r="1505" spans="1:38" x14ac:dyDescent="0.2">
      <c r="A1505" s="2" t="str">
        <f>HYPERLINK("https://www.compass.com/listing/105-bennett-avenue-unit-26b-manhattan-ny-10033/29436869527791185/","105 Bennett Ave, Unit 26B")</f>
        <v>105 Bennett Ave, Unit 26B</v>
      </c>
      <c r="B1505" s="2" t="str">
        <f>HYPERLINK("https://www.compass.com/building/105-bennett-ave-manhattan-ny-10033/282010034911706389/","105 Bennett Ave")</f>
        <v>105 Bennett Ave</v>
      </c>
      <c r="C1505" s="1" t="s">
        <v>122</v>
      </c>
      <c r="D1505" s="1" t="s">
        <v>41</v>
      </c>
      <c r="E1505" s="3">
        <v>576636</v>
      </c>
      <c r="F1505" s="1">
        <v>519.960324616771</v>
      </c>
      <c r="G1505" s="1">
        <v>3</v>
      </c>
      <c r="H1505" s="1">
        <v>1</v>
      </c>
      <c r="I1505" s="1">
        <v>1</v>
      </c>
      <c r="J1505" s="1">
        <v>1</v>
      </c>
      <c r="M1505" s="4">
        <v>1109</v>
      </c>
      <c r="N1505" s="1">
        <v>715</v>
      </c>
      <c r="O1505" s="1">
        <v>1050</v>
      </c>
      <c r="P1505" s="1">
        <v>335</v>
      </c>
      <c r="Q1505" s="1" t="s">
        <v>42</v>
      </c>
      <c r="S1505" s="1" t="s">
        <v>42</v>
      </c>
      <c r="T1505" s="1" t="s">
        <v>153</v>
      </c>
      <c r="V1505" s="5">
        <v>43630</v>
      </c>
      <c r="W1505" s="5">
        <v>42714</v>
      </c>
      <c r="X1505" s="1">
        <v>755000</v>
      </c>
      <c r="Y1505" s="1">
        <v>755000</v>
      </c>
      <c r="Z1505" s="5">
        <v>42714</v>
      </c>
      <c r="AA1505" s="1">
        <v>576636</v>
      </c>
      <c r="AB1505" s="1" t="s">
        <v>1311</v>
      </c>
      <c r="AC1505" s="5">
        <v>42795</v>
      </c>
      <c r="AF1505" s="1">
        <v>10033</v>
      </c>
      <c r="AJ1505" s="1">
        <v>1939</v>
      </c>
      <c r="AL1505" s="1">
        <v>65</v>
      </c>
    </row>
    <row r="1506" spans="1:38" x14ac:dyDescent="0.2">
      <c r="A1506" s="2" t="str">
        <f>HYPERLINK("https://www.compass.com/listing/1325-5th-avenue-unit-6l-manhattan-ny-10029/135267859122153985/","1325 5th Ave, Unit 6L")</f>
        <v>1325 5th Ave, Unit 6L</v>
      </c>
      <c r="B1506" s="2" t="str">
        <f t="shared" ref="B1506:B1508" si="228">HYPERLINK("https://www.compass.com/building/the-fifth-avenue-manhattan-ny/294843719022876805/","The Fifth Avenue")</f>
        <v>The Fifth Avenue</v>
      </c>
      <c r="C1506" s="1" t="s">
        <v>60</v>
      </c>
      <c r="D1506" s="1" t="s">
        <v>41</v>
      </c>
      <c r="E1506" s="3">
        <v>874423</v>
      </c>
      <c r="F1506" s="1">
        <v>838.37314477468794</v>
      </c>
      <c r="G1506" s="1">
        <v>4</v>
      </c>
      <c r="H1506" s="1">
        <v>2</v>
      </c>
      <c r="I1506" s="1">
        <v>2</v>
      </c>
      <c r="J1506" s="1">
        <v>2</v>
      </c>
      <c r="K1506" s="1">
        <v>2</v>
      </c>
      <c r="M1506" s="4">
        <v>1043</v>
      </c>
      <c r="N1506" s="1">
        <v>1231.32</v>
      </c>
      <c r="O1506" s="1">
        <v>1915.12</v>
      </c>
      <c r="P1506" s="1">
        <v>683.83333333333303</v>
      </c>
      <c r="Q1506" s="1" t="s">
        <v>42</v>
      </c>
      <c r="S1506" s="1" t="s">
        <v>42</v>
      </c>
      <c r="T1506" s="1" t="s">
        <v>153</v>
      </c>
      <c r="V1506" s="5">
        <v>43998</v>
      </c>
      <c r="W1506" s="5">
        <v>43438</v>
      </c>
      <c r="X1506" s="1">
        <v>1145000</v>
      </c>
      <c r="Y1506" s="1">
        <v>1145000</v>
      </c>
      <c r="Z1506" s="5">
        <v>43438</v>
      </c>
      <c r="AA1506" s="1">
        <v>874423.19</v>
      </c>
      <c r="AB1506" s="1" t="s">
        <v>1312</v>
      </c>
      <c r="AC1506" s="5">
        <v>43994</v>
      </c>
      <c r="AF1506" s="1">
        <v>10029</v>
      </c>
      <c r="AI1506" s="1" t="s">
        <v>87</v>
      </c>
      <c r="AJ1506" s="1">
        <v>1989</v>
      </c>
      <c r="AK1506" s="1" t="s">
        <v>49</v>
      </c>
      <c r="AL1506" s="1">
        <v>71</v>
      </c>
    </row>
    <row r="1507" spans="1:38" x14ac:dyDescent="0.2">
      <c r="A1507" s="2" t="str">
        <f>HYPERLINK("https://www.compass.com/listing/1325-5th-avenue-unit-3h-manhattan-ny-10029/146856657958237409/","1325 5th Ave, Unit 3H")</f>
        <v>1325 5th Ave, Unit 3H</v>
      </c>
      <c r="B1507" s="2" t="str">
        <f t="shared" si="228"/>
        <v>The Fifth Avenue</v>
      </c>
      <c r="C1507" s="1" t="s">
        <v>60</v>
      </c>
      <c r="D1507" s="1" t="s">
        <v>41</v>
      </c>
      <c r="E1507" s="3">
        <v>930000</v>
      </c>
      <c r="F1507" s="1">
        <v>1011.9695321001</v>
      </c>
      <c r="G1507" s="1">
        <v>4</v>
      </c>
      <c r="H1507" s="1">
        <v>2</v>
      </c>
      <c r="I1507" s="1">
        <v>2</v>
      </c>
      <c r="J1507" s="1">
        <v>2</v>
      </c>
      <c r="K1507" s="1">
        <v>2</v>
      </c>
      <c r="M1507" s="1">
        <v>919</v>
      </c>
      <c r="N1507" s="1">
        <v>936.99</v>
      </c>
      <c r="O1507" s="1">
        <v>1457.34</v>
      </c>
      <c r="P1507" s="1">
        <v>520.33333333333303</v>
      </c>
      <c r="Q1507" s="1" t="s">
        <v>42</v>
      </c>
      <c r="S1507" s="1" t="s">
        <v>42</v>
      </c>
      <c r="T1507" s="1" t="s">
        <v>153</v>
      </c>
      <c r="V1507" s="5">
        <v>43916</v>
      </c>
      <c r="W1507" s="5">
        <v>43454</v>
      </c>
      <c r="X1507" s="1">
        <v>1015000</v>
      </c>
      <c r="Y1507" s="1">
        <v>1015000</v>
      </c>
      <c r="Z1507" s="5">
        <v>43454</v>
      </c>
      <c r="AA1507" s="1">
        <v>930000</v>
      </c>
      <c r="AB1507" s="1" t="s">
        <v>1313</v>
      </c>
      <c r="AC1507" s="5">
        <v>43915</v>
      </c>
      <c r="AF1507" s="1">
        <v>10029</v>
      </c>
      <c r="AI1507" s="1" t="s">
        <v>87</v>
      </c>
      <c r="AJ1507" s="1">
        <v>1989</v>
      </c>
      <c r="AK1507" s="1" t="s">
        <v>49</v>
      </c>
      <c r="AL1507" s="1">
        <v>71</v>
      </c>
    </row>
    <row r="1508" spans="1:38" x14ac:dyDescent="0.2">
      <c r="A1508" s="2" t="str">
        <f>HYPERLINK("https://www.compass.com/listing/1325-5th-avenue-unit-3f-manhattan-ny-10029/409442052638371857/","1325 5th Ave, Unit 3F")</f>
        <v>1325 5th Ave, Unit 3F</v>
      </c>
      <c r="B1508" s="2" t="str">
        <f t="shared" si="228"/>
        <v>The Fifth Avenue</v>
      </c>
      <c r="C1508" s="1" t="s">
        <v>60</v>
      </c>
      <c r="D1508" s="1" t="s">
        <v>41</v>
      </c>
      <c r="E1508" s="3">
        <v>784053</v>
      </c>
      <c r="F1508" s="1">
        <v>851.30564603691596</v>
      </c>
      <c r="G1508" s="1">
        <v>4</v>
      </c>
      <c r="H1508" s="1">
        <v>2</v>
      </c>
      <c r="I1508" s="1">
        <v>2</v>
      </c>
      <c r="J1508" s="1">
        <v>2</v>
      </c>
      <c r="K1508" s="1">
        <v>2</v>
      </c>
      <c r="M1508" s="1">
        <v>921</v>
      </c>
      <c r="Q1508" s="1" t="s">
        <v>42</v>
      </c>
      <c r="S1508" s="1" t="s">
        <v>42</v>
      </c>
      <c r="T1508" s="1" t="s">
        <v>153</v>
      </c>
      <c r="V1508" s="5">
        <v>43971</v>
      </c>
      <c r="W1508" s="5">
        <v>43816</v>
      </c>
      <c r="X1508" s="1">
        <v>1015000</v>
      </c>
      <c r="Y1508" s="1">
        <v>1015000</v>
      </c>
      <c r="Z1508" s="5">
        <v>43816</v>
      </c>
      <c r="AA1508" s="1">
        <v>784052.5</v>
      </c>
      <c r="AB1508" s="1" t="s">
        <v>1314</v>
      </c>
      <c r="AC1508" s="5">
        <v>43969</v>
      </c>
      <c r="AF1508" s="1">
        <v>10029</v>
      </c>
      <c r="AI1508" s="1" t="s">
        <v>113</v>
      </c>
      <c r="AJ1508" s="1">
        <v>1989</v>
      </c>
      <c r="AK1508" s="1" t="s">
        <v>49</v>
      </c>
      <c r="AL1508" s="1">
        <v>71</v>
      </c>
    </row>
    <row r="1509" spans="1:38" x14ac:dyDescent="0.2">
      <c r="A1509" s="2" t="str">
        <f>HYPERLINK("https://www.compass.com/listing/543-west-122nd-street-unit-5f-manhattan-ny-10027/233096023864587873/","543 W 122nd St, Unit 5F")</f>
        <v>543 W 122nd St, Unit 5F</v>
      </c>
      <c r="B1509" s="2" t="str">
        <f>HYPERLINK("https://www.compass.com/building/vandewater-manhattan-ny/282058681657361477/","Vandewater")</f>
        <v>Vandewater</v>
      </c>
      <c r="C1509" s="1" t="s">
        <v>95</v>
      </c>
      <c r="D1509" s="1" t="s">
        <v>41</v>
      </c>
      <c r="E1509" s="3">
        <v>981084</v>
      </c>
      <c r="F1509" s="1">
        <v>1810.1178597785899</v>
      </c>
      <c r="G1509" s="1">
        <v>2</v>
      </c>
      <c r="H1509" s="1" t="s">
        <v>94</v>
      </c>
      <c r="I1509" s="1">
        <v>1</v>
      </c>
      <c r="J1509" s="1">
        <v>1</v>
      </c>
      <c r="K1509" s="1">
        <v>1</v>
      </c>
      <c r="M1509" s="1">
        <v>542</v>
      </c>
      <c r="N1509" s="1">
        <v>541</v>
      </c>
      <c r="O1509" s="1">
        <v>1188</v>
      </c>
      <c r="P1509" s="1">
        <v>647</v>
      </c>
      <c r="Q1509" s="1" t="s">
        <v>42</v>
      </c>
      <c r="S1509" s="1" t="s">
        <v>42</v>
      </c>
      <c r="T1509" s="1" t="s">
        <v>153</v>
      </c>
      <c r="U1509" s="1">
        <v>88</v>
      </c>
      <c r="V1509" s="5">
        <v>44271</v>
      </c>
      <c r="W1509" s="5">
        <v>43485</v>
      </c>
      <c r="X1509" s="1">
        <v>960000</v>
      </c>
      <c r="Y1509" s="1">
        <v>960000</v>
      </c>
      <c r="Z1509" s="5">
        <v>43573</v>
      </c>
      <c r="AA1509" s="1">
        <v>981083.88</v>
      </c>
      <c r="AB1509" s="1" t="s">
        <v>1315</v>
      </c>
      <c r="AC1509" s="5">
        <v>44267</v>
      </c>
      <c r="AF1509" s="1">
        <v>10027</v>
      </c>
      <c r="AI1509" s="1" t="s">
        <v>96</v>
      </c>
      <c r="AJ1509" s="1">
        <v>2019</v>
      </c>
      <c r="AK1509" s="1" t="s">
        <v>46</v>
      </c>
      <c r="AL1509" s="1">
        <v>183</v>
      </c>
    </row>
    <row r="1510" spans="1:38" x14ac:dyDescent="0.2">
      <c r="A1510" s="2" t="str">
        <f>HYPERLINK("https://www.compass.com/listing/1325-5th-avenue-unit-6e-manhattan-ny-10029/44768549507439745/","1325 5th Ave, Unit 6E")</f>
        <v>1325 5th Ave, Unit 6E</v>
      </c>
      <c r="B1510" s="2" t="str">
        <f t="shared" ref="B1510:B1511" si="229">HYPERLINK("https://www.compass.com/building/the-fifth-avenue-manhattan-ny/294843719022876805/","The Fifth Avenue")</f>
        <v>The Fifth Avenue</v>
      </c>
      <c r="C1510" s="1" t="s">
        <v>60</v>
      </c>
      <c r="D1510" s="1" t="s">
        <v>41</v>
      </c>
      <c r="E1510" s="3">
        <v>715000</v>
      </c>
      <c r="F1510" s="1">
        <v>1111.97511664074</v>
      </c>
      <c r="G1510" s="1">
        <v>3</v>
      </c>
      <c r="H1510" s="1">
        <v>1</v>
      </c>
      <c r="I1510" s="1">
        <v>1</v>
      </c>
      <c r="J1510" s="1">
        <v>1</v>
      </c>
      <c r="K1510" s="1">
        <v>1</v>
      </c>
      <c r="M1510" s="1">
        <v>643</v>
      </c>
      <c r="N1510" s="1">
        <v>759.1</v>
      </c>
      <c r="O1510" s="1">
        <v>1180.6600000000001</v>
      </c>
      <c r="P1510" s="1">
        <v>421.58333333333297</v>
      </c>
      <c r="Q1510" s="1" t="s">
        <v>42</v>
      </c>
      <c r="S1510" s="1" t="s">
        <v>42</v>
      </c>
      <c r="T1510" s="1" t="s">
        <v>153</v>
      </c>
      <c r="U1510" s="1">
        <v>163</v>
      </c>
      <c r="V1510" s="5">
        <v>43854</v>
      </c>
      <c r="W1510" s="5">
        <v>43313</v>
      </c>
      <c r="X1510" s="1">
        <v>765000</v>
      </c>
      <c r="Y1510" s="1">
        <v>765000</v>
      </c>
      <c r="Z1510" s="5">
        <v>43476</v>
      </c>
      <c r="AA1510" s="1">
        <v>715000</v>
      </c>
      <c r="AB1510" s="1" t="s">
        <v>1316</v>
      </c>
      <c r="AC1510" s="5">
        <v>43853</v>
      </c>
      <c r="AF1510" s="1">
        <v>10029</v>
      </c>
      <c r="AI1510" s="1" t="s">
        <v>87</v>
      </c>
      <c r="AJ1510" s="1">
        <v>1989</v>
      </c>
      <c r="AK1510" s="1" t="s">
        <v>49</v>
      </c>
      <c r="AL1510" s="1">
        <v>71</v>
      </c>
    </row>
    <row r="1511" spans="1:38" x14ac:dyDescent="0.2">
      <c r="A1511" s="2" t="str">
        <f>HYPERLINK("https://www.compass.com/listing/1325-5th-avenue-unit-3g-manhattan-ny-10029/135267857972964241/","1325 5th Ave, Unit 3G")</f>
        <v>1325 5th Ave, Unit 3G</v>
      </c>
      <c r="B1511" s="2" t="str">
        <f t="shared" si="229"/>
        <v>The Fifth Avenue</v>
      </c>
      <c r="C1511" s="1" t="s">
        <v>60</v>
      </c>
      <c r="D1511" s="1" t="s">
        <v>41</v>
      </c>
      <c r="E1511" s="3">
        <v>576585</v>
      </c>
      <c r="F1511" s="1">
        <v>860.57471641791005</v>
      </c>
      <c r="G1511" s="1">
        <v>3</v>
      </c>
      <c r="H1511" s="1">
        <v>1</v>
      </c>
      <c r="I1511" s="1">
        <v>1</v>
      </c>
      <c r="J1511" s="1">
        <v>1</v>
      </c>
      <c r="K1511" s="1">
        <v>1</v>
      </c>
      <c r="M1511" s="1">
        <v>670</v>
      </c>
      <c r="N1511" s="1">
        <v>683.11</v>
      </c>
      <c r="O1511" s="1">
        <v>1062.47</v>
      </c>
      <c r="P1511" s="1">
        <v>379.33333333333297</v>
      </c>
      <c r="Q1511" s="1" t="s">
        <v>42</v>
      </c>
      <c r="S1511" s="1" t="s">
        <v>42</v>
      </c>
      <c r="T1511" s="1" t="s">
        <v>153</v>
      </c>
      <c r="V1511" s="5">
        <v>44116</v>
      </c>
      <c r="W1511" s="5">
        <v>43438</v>
      </c>
      <c r="X1511" s="1">
        <v>755000</v>
      </c>
      <c r="Y1511" s="1">
        <v>755000</v>
      </c>
      <c r="Z1511" s="5">
        <v>43438</v>
      </c>
      <c r="AA1511" s="1">
        <v>576585.06000000006</v>
      </c>
      <c r="AB1511" s="1" t="s">
        <v>1317</v>
      </c>
      <c r="AC1511" s="5">
        <v>44090</v>
      </c>
      <c r="AF1511" s="1">
        <v>10029</v>
      </c>
      <c r="AI1511" s="1" t="s">
        <v>87</v>
      </c>
      <c r="AJ1511" s="1">
        <v>1989</v>
      </c>
      <c r="AK1511" s="1" t="s">
        <v>46</v>
      </c>
      <c r="AL1511" s="1">
        <v>71</v>
      </c>
    </row>
    <row r="1512" spans="1:38" x14ac:dyDescent="0.2">
      <c r="A1512" s="2" t="str">
        <f>HYPERLINK("https://www.compass.com/listing/69-bennett-avenue-unit-407-manhattan-ny-10033/29436863806760449/","69 Bennett Ave, Unit 407")</f>
        <v>69 Bennett Ave, Unit 407</v>
      </c>
      <c r="B1512" s="2" t="str">
        <f t="shared" ref="B1512:B1515" si="230">HYPERLINK("https://www.compass.com/building/69-bennett-ave-manhattan-ny-10033/282013522349526869/","69 Bennett Ave")</f>
        <v>69 Bennett Ave</v>
      </c>
      <c r="C1512" s="1" t="s">
        <v>122</v>
      </c>
      <c r="D1512" s="1" t="s">
        <v>41</v>
      </c>
      <c r="E1512" s="3">
        <v>500916</v>
      </c>
      <c r="F1512" s="1">
        <v>676</v>
      </c>
      <c r="G1512" s="1">
        <v>3</v>
      </c>
      <c r="H1512" s="1">
        <v>1</v>
      </c>
      <c r="I1512" s="1">
        <v>1</v>
      </c>
      <c r="J1512" s="1">
        <v>1</v>
      </c>
      <c r="M1512" s="1">
        <v>741</v>
      </c>
      <c r="N1512" s="1">
        <v>587</v>
      </c>
      <c r="O1512" s="1">
        <v>928</v>
      </c>
      <c r="P1512" s="1">
        <v>341</v>
      </c>
      <c r="Q1512" s="1" t="s">
        <v>42</v>
      </c>
      <c r="S1512" s="1" t="s">
        <v>42</v>
      </c>
      <c r="T1512" s="1" t="s">
        <v>153</v>
      </c>
      <c r="U1512" s="1">
        <v>44</v>
      </c>
      <c r="V1512" s="5">
        <v>43663</v>
      </c>
      <c r="W1512" s="5">
        <v>42199</v>
      </c>
      <c r="X1512" s="1">
        <v>489000</v>
      </c>
      <c r="Y1512" s="1">
        <v>537900</v>
      </c>
      <c r="Z1512" s="5">
        <v>42243</v>
      </c>
      <c r="AA1512" s="1">
        <v>500916</v>
      </c>
      <c r="AB1512" s="1" t="s">
        <v>1318</v>
      </c>
      <c r="AC1512" s="5">
        <v>42524</v>
      </c>
      <c r="AF1512" s="1">
        <v>10033</v>
      </c>
      <c r="AJ1512" s="1">
        <v>1954</v>
      </c>
      <c r="AL1512" s="1">
        <v>60</v>
      </c>
    </row>
    <row r="1513" spans="1:38" x14ac:dyDescent="0.2">
      <c r="A1513" s="2" t="str">
        <f>HYPERLINK("https://www.compass.com/listing/69-bennett-avenue-unit-409-manhattan-ny-10033/29436864159142033/","69 Bennett Ave, Unit 409")</f>
        <v>69 Bennett Ave, Unit 409</v>
      </c>
      <c r="B1513" s="2" t="str">
        <f t="shared" si="230"/>
        <v>69 Bennett Ave</v>
      </c>
      <c r="C1513" s="1" t="s">
        <v>122</v>
      </c>
      <c r="D1513" s="1" t="s">
        <v>41</v>
      </c>
      <c r="E1513" s="3">
        <v>565110</v>
      </c>
      <c r="F1513" s="1">
        <v>737.74151436031298</v>
      </c>
      <c r="G1513" s="1">
        <v>4</v>
      </c>
      <c r="H1513" s="1">
        <v>2</v>
      </c>
      <c r="I1513" s="1">
        <v>1</v>
      </c>
      <c r="J1513" s="1">
        <v>1</v>
      </c>
      <c r="M1513" s="1">
        <v>766</v>
      </c>
      <c r="N1513" s="1">
        <v>580</v>
      </c>
      <c r="O1513" s="1">
        <v>929</v>
      </c>
      <c r="P1513" s="1">
        <v>349</v>
      </c>
      <c r="Q1513" s="1" t="s">
        <v>42</v>
      </c>
      <c r="S1513" s="1" t="s">
        <v>42</v>
      </c>
      <c r="T1513" s="1" t="s">
        <v>153</v>
      </c>
      <c r="U1513" s="1">
        <v>35</v>
      </c>
      <c r="V1513" s="5">
        <v>43663</v>
      </c>
      <c r="W1513" s="5">
        <v>42482</v>
      </c>
      <c r="X1513" s="1">
        <v>560000</v>
      </c>
      <c r="Y1513" s="1">
        <v>560000</v>
      </c>
      <c r="Z1513" s="5">
        <v>42517</v>
      </c>
      <c r="AA1513" s="1">
        <v>565110</v>
      </c>
      <c r="AB1513" s="1" t="s">
        <v>1319</v>
      </c>
      <c r="AC1513" s="5">
        <v>42600</v>
      </c>
      <c r="AF1513" s="1">
        <v>10033</v>
      </c>
      <c r="AJ1513" s="1">
        <v>1954</v>
      </c>
      <c r="AL1513" s="1">
        <v>60</v>
      </c>
    </row>
    <row r="1514" spans="1:38" x14ac:dyDescent="0.2">
      <c r="A1514" s="2" t="str">
        <f>HYPERLINK("https://www.compass.com/listing/69-bennett-avenue-unit-307-manhattan-ny-10033/29436863051845761/","69 Bennett Ave, Unit 307")</f>
        <v>69 Bennett Ave, Unit 307</v>
      </c>
      <c r="B1514" s="2" t="str">
        <f t="shared" si="230"/>
        <v>69 Bennett Ave</v>
      </c>
      <c r="C1514" s="1" t="s">
        <v>122</v>
      </c>
      <c r="D1514" s="1" t="s">
        <v>41</v>
      </c>
      <c r="E1514" s="3">
        <v>510000</v>
      </c>
      <c r="F1514" s="1">
        <v>688.25910931173996</v>
      </c>
      <c r="G1514" s="1">
        <v>3</v>
      </c>
      <c r="H1514" s="1">
        <v>1</v>
      </c>
      <c r="I1514" s="1">
        <v>1</v>
      </c>
      <c r="J1514" s="1">
        <v>1</v>
      </c>
      <c r="M1514" s="1">
        <v>741</v>
      </c>
      <c r="N1514" s="1">
        <v>564</v>
      </c>
      <c r="O1514" s="1">
        <v>904</v>
      </c>
      <c r="P1514" s="1">
        <v>340</v>
      </c>
      <c r="Q1514" s="1" t="s">
        <v>42</v>
      </c>
      <c r="S1514" s="1" t="s">
        <v>42</v>
      </c>
      <c r="T1514" s="1" t="s">
        <v>153</v>
      </c>
      <c r="U1514" s="1">
        <v>42</v>
      </c>
      <c r="V1514" s="5">
        <v>43640</v>
      </c>
      <c r="W1514" s="5">
        <v>43027</v>
      </c>
      <c r="X1514" s="1">
        <v>525800</v>
      </c>
      <c r="Y1514" s="1">
        <v>525800</v>
      </c>
      <c r="Z1514" s="5">
        <v>43069</v>
      </c>
      <c r="AA1514" s="1">
        <v>510000</v>
      </c>
      <c r="AB1514" s="1" t="s">
        <v>1320</v>
      </c>
      <c r="AC1514" s="5">
        <v>43087</v>
      </c>
      <c r="AF1514" s="1">
        <v>10033</v>
      </c>
      <c r="AJ1514" s="1">
        <v>1954</v>
      </c>
      <c r="AL1514" s="1">
        <v>60</v>
      </c>
    </row>
    <row r="1515" spans="1:38" x14ac:dyDescent="0.2">
      <c r="A1515" s="2" t="str">
        <f>HYPERLINK("https://www.compass.com/listing/69-bennett-avenue-unit-309-manhattan-ny-10033/561465776949875529/","69 Bennett Ave, Unit 309")</f>
        <v>69 Bennett Ave, Unit 309</v>
      </c>
      <c r="B1515" s="2" t="str">
        <f t="shared" si="230"/>
        <v>69 Bennett Ave</v>
      </c>
      <c r="C1515" s="1" t="s">
        <v>122</v>
      </c>
      <c r="D1515" s="1" t="s">
        <v>41</v>
      </c>
      <c r="E1515" s="3">
        <v>505000</v>
      </c>
      <c r="F1515" s="1">
        <v>659.26892950391596</v>
      </c>
      <c r="G1515" s="1">
        <v>4</v>
      </c>
      <c r="H1515" s="1">
        <v>2</v>
      </c>
      <c r="I1515" s="1">
        <v>1</v>
      </c>
      <c r="J1515" s="1">
        <v>1</v>
      </c>
      <c r="K1515" s="1">
        <v>1</v>
      </c>
      <c r="M1515" s="1">
        <v>766</v>
      </c>
      <c r="N1515" s="1">
        <v>518</v>
      </c>
      <c r="O1515" s="1">
        <v>927</v>
      </c>
      <c r="P1515" s="1">
        <v>409</v>
      </c>
      <c r="Q1515" s="1" t="s">
        <v>42</v>
      </c>
      <c r="S1515" s="1" t="s">
        <v>42</v>
      </c>
      <c r="T1515" s="1" t="s">
        <v>153</v>
      </c>
      <c r="U1515" s="1">
        <v>57</v>
      </c>
      <c r="V1515" s="5">
        <v>44170</v>
      </c>
      <c r="W1515" s="5">
        <v>44026</v>
      </c>
      <c r="X1515" s="1">
        <v>545000</v>
      </c>
      <c r="Y1515" s="1">
        <v>515000</v>
      </c>
      <c r="Z1515" s="5">
        <v>44084</v>
      </c>
      <c r="AA1515" s="1">
        <v>505000</v>
      </c>
      <c r="AB1515" s="1" t="s">
        <v>1321</v>
      </c>
      <c r="AC1515" s="5">
        <v>44168</v>
      </c>
      <c r="AF1515" s="1">
        <v>10033</v>
      </c>
      <c r="AJ1515" s="1">
        <v>1954</v>
      </c>
      <c r="AL1515" s="1">
        <v>60</v>
      </c>
    </row>
    <row r="1516" spans="1:38" x14ac:dyDescent="0.2">
      <c r="A1516" s="2" t="str">
        <f>HYPERLINK("https://www.compass.com/listing/52-convent-avenue-unit-2a-manhattan-ny-10027/29515674904764225/","52 Convent Ave, Unit 2A")</f>
        <v>52 Convent Ave, Unit 2A</v>
      </c>
      <c r="B1516" s="2" t="str">
        <f t="shared" ref="B1516:B1518" si="231">HYPERLINK("https://www.compass.com/building/52-convent-avenue-manhattan-ny/292889753865529749/","52 Convent Avenue ")</f>
        <v xml:space="preserve">52 Convent Avenue </v>
      </c>
      <c r="C1516" s="1" t="s">
        <v>95</v>
      </c>
      <c r="D1516" s="1" t="s">
        <v>41</v>
      </c>
      <c r="E1516" s="3">
        <v>1018000</v>
      </c>
      <c r="F1516" s="1">
        <v>1076.1099365750499</v>
      </c>
      <c r="G1516" s="1">
        <v>4</v>
      </c>
      <c r="H1516" s="1">
        <v>2</v>
      </c>
      <c r="I1516" s="1">
        <v>2</v>
      </c>
      <c r="J1516" s="1">
        <v>2</v>
      </c>
      <c r="K1516" s="1">
        <v>2</v>
      </c>
      <c r="M1516" s="1">
        <v>946</v>
      </c>
      <c r="N1516" s="1">
        <v>610</v>
      </c>
      <c r="O1516" s="1">
        <v>945</v>
      </c>
      <c r="P1516" s="1">
        <v>335</v>
      </c>
      <c r="Q1516" s="1" t="s">
        <v>42</v>
      </c>
      <c r="S1516" s="1" t="s">
        <v>42</v>
      </c>
      <c r="T1516" s="1" t="s">
        <v>153</v>
      </c>
      <c r="V1516" s="5">
        <v>43780</v>
      </c>
      <c r="W1516" s="5">
        <v>43543</v>
      </c>
      <c r="X1516" s="1">
        <v>1018000</v>
      </c>
      <c r="Y1516" s="1">
        <v>1018000</v>
      </c>
      <c r="Z1516" s="5">
        <v>43543</v>
      </c>
      <c r="AA1516" s="1">
        <v>1018000</v>
      </c>
      <c r="AB1516" s="1" t="s">
        <v>1322</v>
      </c>
      <c r="AC1516" s="5">
        <v>43773</v>
      </c>
      <c r="AF1516" s="1">
        <v>10027</v>
      </c>
      <c r="AI1516" s="1" t="s">
        <v>128</v>
      </c>
      <c r="AJ1516" s="1">
        <v>2018</v>
      </c>
      <c r="AK1516" s="1" t="s">
        <v>124</v>
      </c>
      <c r="AL1516" s="1">
        <v>17</v>
      </c>
    </row>
    <row r="1517" spans="1:38" x14ac:dyDescent="0.2">
      <c r="A1517" s="2" t="str">
        <f>HYPERLINK("https://www.compass.com/listing/52-convent-avenue-unit-4a-manhattan-ny-10027/29515676246988993/","52 Convent Ave, Unit 4A")</f>
        <v>52 Convent Ave, Unit 4A</v>
      </c>
      <c r="B1517" s="2" t="str">
        <f t="shared" si="231"/>
        <v xml:space="preserve">52 Convent Avenue </v>
      </c>
      <c r="C1517" s="1" t="s">
        <v>95</v>
      </c>
      <c r="D1517" s="1" t="s">
        <v>41</v>
      </c>
      <c r="E1517" s="3">
        <v>1087491</v>
      </c>
      <c r="F1517" s="1">
        <v>1149.5676532769501</v>
      </c>
      <c r="G1517" s="1">
        <v>4</v>
      </c>
      <c r="H1517" s="1">
        <v>2</v>
      </c>
      <c r="I1517" s="1">
        <v>2</v>
      </c>
      <c r="J1517" s="1">
        <v>2</v>
      </c>
      <c r="K1517" s="1">
        <v>2</v>
      </c>
      <c r="M1517" s="1">
        <v>946</v>
      </c>
      <c r="N1517" s="1">
        <v>628</v>
      </c>
      <c r="O1517" s="1">
        <v>1004</v>
      </c>
      <c r="P1517" s="1">
        <v>376</v>
      </c>
      <c r="Q1517" s="1" t="s">
        <v>42</v>
      </c>
      <c r="S1517" s="1" t="s">
        <v>42</v>
      </c>
      <c r="T1517" s="1" t="s">
        <v>153</v>
      </c>
      <c r="V1517" s="5">
        <v>43802</v>
      </c>
      <c r="W1517" s="5">
        <v>43543</v>
      </c>
      <c r="X1517" s="1">
        <v>1068000</v>
      </c>
      <c r="Y1517" s="1">
        <v>1068000</v>
      </c>
      <c r="Z1517" s="5">
        <v>43543</v>
      </c>
      <c r="AA1517" s="1">
        <v>1087491</v>
      </c>
      <c r="AB1517" s="1" t="s">
        <v>1323</v>
      </c>
      <c r="AC1517" s="5">
        <v>43790</v>
      </c>
      <c r="AF1517" s="1">
        <v>10027</v>
      </c>
      <c r="AI1517" s="1" t="s">
        <v>1324</v>
      </c>
      <c r="AJ1517" s="1">
        <v>2018</v>
      </c>
      <c r="AK1517" s="1" t="s">
        <v>86</v>
      </c>
      <c r="AL1517" s="1">
        <v>17</v>
      </c>
    </row>
    <row r="1518" spans="1:38" x14ac:dyDescent="0.2">
      <c r="A1518" s="2" t="str">
        <f>HYPERLINK("https://www.compass.com/listing/52-convent-avenue-unit-3a-manhattan-ny-10027/29515677136181489/","52 Convent Ave, Unit 3A")</f>
        <v>52 Convent Ave, Unit 3A</v>
      </c>
      <c r="B1518" s="2" t="str">
        <f t="shared" si="231"/>
        <v xml:space="preserve">52 Convent Avenue </v>
      </c>
      <c r="C1518" s="1" t="s">
        <v>95</v>
      </c>
      <c r="D1518" s="1" t="s">
        <v>41</v>
      </c>
      <c r="E1518" s="3">
        <v>1057563</v>
      </c>
      <c r="F1518" s="1">
        <v>1117.93128964059</v>
      </c>
      <c r="G1518" s="1">
        <v>4</v>
      </c>
      <c r="H1518" s="1">
        <v>2</v>
      </c>
      <c r="I1518" s="1">
        <v>2</v>
      </c>
      <c r="J1518" s="1">
        <v>2</v>
      </c>
      <c r="K1518" s="1">
        <v>2</v>
      </c>
      <c r="M1518" s="1">
        <v>946</v>
      </c>
      <c r="N1518" s="1">
        <v>618</v>
      </c>
      <c r="O1518" s="1">
        <v>973</v>
      </c>
      <c r="P1518" s="1">
        <v>355</v>
      </c>
      <c r="Q1518" s="1" t="s">
        <v>42</v>
      </c>
      <c r="S1518" s="1" t="s">
        <v>42</v>
      </c>
      <c r="T1518" s="1" t="s">
        <v>153</v>
      </c>
      <c r="V1518" s="5">
        <v>43823</v>
      </c>
      <c r="W1518" s="5">
        <v>43543</v>
      </c>
      <c r="X1518" s="1">
        <v>1048000</v>
      </c>
      <c r="Y1518" s="1">
        <v>1048000</v>
      </c>
      <c r="Z1518" s="5">
        <v>43543</v>
      </c>
      <c r="AA1518" s="1">
        <v>1057563</v>
      </c>
      <c r="AB1518" s="1" t="s">
        <v>1325</v>
      </c>
      <c r="AC1518" s="5">
        <v>43808</v>
      </c>
      <c r="AF1518" s="1">
        <v>10027</v>
      </c>
      <c r="AI1518" s="1" t="s">
        <v>128</v>
      </c>
      <c r="AJ1518" s="1">
        <v>2018</v>
      </c>
      <c r="AK1518" s="1" t="s">
        <v>86</v>
      </c>
      <c r="AL1518" s="1">
        <v>17</v>
      </c>
    </row>
    <row r="1519" spans="1:38" x14ac:dyDescent="0.2">
      <c r="A1519" s="2" t="str">
        <f>HYPERLINK("https://www.compass.com/listing/543-west-122nd-street-unit-28d-manhattan-ny-10027/489712397920164753/","543 W 122nd St, Unit 28D")</f>
        <v>543 W 122nd St, Unit 28D</v>
      </c>
      <c r="B1519" s="2" t="str">
        <f t="shared" ref="B1519:B1520" si="232">HYPERLINK("https://www.compass.com/building/vandewater-manhattan-ny/282058681657361477/","Vandewater")</f>
        <v>Vandewater</v>
      </c>
      <c r="C1519" s="1" t="s">
        <v>95</v>
      </c>
      <c r="D1519" s="1" t="s">
        <v>41</v>
      </c>
      <c r="E1519" s="3">
        <v>3350000</v>
      </c>
      <c r="F1519" s="1">
        <v>1960.2106495026301</v>
      </c>
      <c r="G1519" s="1">
        <v>6</v>
      </c>
      <c r="H1519" s="1">
        <v>3</v>
      </c>
      <c r="I1519" s="1">
        <v>3</v>
      </c>
      <c r="J1519" s="1">
        <v>2.5</v>
      </c>
      <c r="K1519" s="1">
        <v>2</v>
      </c>
      <c r="L1519" s="1">
        <v>1</v>
      </c>
      <c r="M1519" s="4">
        <v>1709</v>
      </c>
      <c r="N1519" s="1">
        <v>1700</v>
      </c>
      <c r="O1519" s="1">
        <v>3739</v>
      </c>
      <c r="P1519" s="1">
        <v>2039</v>
      </c>
      <c r="Q1519" s="1" t="s">
        <v>42</v>
      </c>
      <c r="S1519" s="1" t="s">
        <v>42</v>
      </c>
      <c r="T1519" s="1" t="s">
        <v>153</v>
      </c>
      <c r="V1519" s="5">
        <v>44379</v>
      </c>
      <c r="W1519" s="5">
        <v>44342</v>
      </c>
      <c r="X1519" s="1">
        <v>3450000</v>
      </c>
      <c r="Y1519" s="1">
        <v>3450000</v>
      </c>
      <c r="Z1519" s="5">
        <v>44343</v>
      </c>
      <c r="AA1519" s="1">
        <v>3350000</v>
      </c>
      <c r="AB1519" s="1" t="s">
        <v>1326</v>
      </c>
      <c r="AC1519" s="5">
        <v>44378</v>
      </c>
      <c r="AF1519" s="1">
        <v>10027</v>
      </c>
      <c r="AI1519" s="1" t="s">
        <v>96</v>
      </c>
      <c r="AJ1519" s="1">
        <v>2019</v>
      </c>
      <c r="AK1519" s="1" t="s">
        <v>46</v>
      </c>
      <c r="AL1519" s="1">
        <v>183</v>
      </c>
    </row>
    <row r="1520" spans="1:38" x14ac:dyDescent="0.2">
      <c r="A1520" s="2" t="str">
        <f>HYPERLINK("https://www.compass.com/listing/543-west-122nd-street-unit-16b-manhattan-ny-10027/840321480531343281/","543 W 122nd St, Unit 16B")</f>
        <v>543 W 122nd St, Unit 16B</v>
      </c>
      <c r="B1520" s="2" t="str">
        <f t="shared" si="232"/>
        <v>Vandewater</v>
      </c>
      <c r="C1520" s="1" t="s">
        <v>95</v>
      </c>
      <c r="D1520" s="1" t="s">
        <v>41</v>
      </c>
      <c r="E1520" s="3">
        <v>1378201</v>
      </c>
      <c r="Q1520" s="1" t="s">
        <v>42</v>
      </c>
      <c r="S1520" s="1" t="s">
        <v>42</v>
      </c>
      <c r="T1520" s="1" t="s">
        <v>153</v>
      </c>
      <c r="AA1520" s="1">
        <v>1378201.38</v>
      </c>
      <c r="AB1520" s="1" t="s">
        <v>1327</v>
      </c>
      <c r="AC1520" s="5">
        <v>44400</v>
      </c>
      <c r="AF1520" s="1">
        <v>10027</v>
      </c>
      <c r="AI1520" s="1" t="s">
        <v>96</v>
      </c>
      <c r="AJ1520" s="1">
        <v>2019</v>
      </c>
      <c r="AK1520" s="1" t="s">
        <v>49</v>
      </c>
      <c r="AL1520" s="1">
        <v>183</v>
      </c>
    </row>
    <row r="1521" spans="1:38" x14ac:dyDescent="0.2">
      <c r="A1521" s="2" t="str">
        <f>HYPERLINK("https://www.compass.com/listing/52-convent-avenue-unit-gardenb-manhattan-ny-10027/29515677731725217/","52 Convent Ave, Unit GARDENB")</f>
        <v>52 Convent Ave, Unit GARDENB</v>
      </c>
      <c r="B1521" s="2" t="str">
        <f t="shared" ref="B1521:B1522" si="233">HYPERLINK("https://www.compass.com/building/52-convent-avenue-manhattan-ny/292889753865529749/","52 Convent Avenue ")</f>
        <v xml:space="preserve">52 Convent Avenue </v>
      </c>
      <c r="C1521" s="1" t="s">
        <v>95</v>
      </c>
      <c r="D1521" s="1" t="s">
        <v>41</v>
      </c>
      <c r="E1521" s="3">
        <v>695000</v>
      </c>
      <c r="F1521" s="1">
        <v>1010.17441860465</v>
      </c>
      <c r="G1521" s="1">
        <v>3</v>
      </c>
      <c r="H1521" s="1">
        <v>1</v>
      </c>
      <c r="I1521" s="1">
        <v>1</v>
      </c>
      <c r="J1521" s="1">
        <v>1</v>
      </c>
      <c r="K1521" s="1">
        <v>1</v>
      </c>
      <c r="M1521" s="1">
        <v>688</v>
      </c>
      <c r="N1521" s="1">
        <v>428</v>
      </c>
      <c r="O1521" s="1">
        <v>534</v>
      </c>
      <c r="P1521" s="1">
        <v>106</v>
      </c>
      <c r="Q1521" s="1" t="s">
        <v>42</v>
      </c>
      <c r="S1521" s="1" t="s">
        <v>42</v>
      </c>
      <c r="T1521" s="1" t="s">
        <v>153</v>
      </c>
      <c r="V1521" s="5">
        <v>43809</v>
      </c>
      <c r="W1521" s="5">
        <v>43543</v>
      </c>
      <c r="X1521" s="1">
        <v>695000</v>
      </c>
      <c r="Y1521" s="1">
        <v>695000</v>
      </c>
      <c r="Z1521" s="5">
        <v>43543</v>
      </c>
      <c r="AA1521" s="1">
        <v>695000</v>
      </c>
      <c r="AB1521" s="1" t="s">
        <v>177</v>
      </c>
      <c r="AC1521" s="5">
        <v>43795</v>
      </c>
      <c r="AF1521" s="1">
        <v>10027</v>
      </c>
      <c r="AI1521" s="1" t="s">
        <v>96</v>
      </c>
      <c r="AJ1521" s="1">
        <v>2018</v>
      </c>
      <c r="AK1521" s="1" t="s">
        <v>124</v>
      </c>
      <c r="AL1521" s="1">
        <v>17</v>
      </c>
    </row>
    <row r="1522" spans="1:38" x14ac:dyDescent="0.2">
      <c r="A1522" s="2" t="str">
        <f>HYPERLINK("https://www.compass.com/listing/52-convent-avenue-unit-gardena-manhattan-ny-10027/252669416448292529/","52 Convent Ave, Unit GARDENA")</f>
        <v>52 Convent Ave, Unit GARDENA</v>
      </c>
      <c r="B1522" s="2" t="str">
        <f t="shared" si="233"/>
        <v xml:space="preserve">52 Convent Avenue </v>
      </c>
      <c r="C1522" s="1" t="s">
        <v>95</v>
      </c>
      <c r="D1522" s="1" t="s">
        <v>41</v>
      </c>
      <c r="E1522" s="3">
        <v>920000</v>
      </c>
      <c r="F1522" s="1">
        <v>691.72932330826995</v>
      </c>
      <c r="G1522" s="1">
        <v>4</v>
      </c>
      <c r="H1522" s="1">
        <v>1</v>
      </c>
      <c r="I1522" s="1">
        <v>2</v>
      </c>
      <c r="J1522" s="1">
        <v>1.5</v>
      </c>
      <c r="K1522" s="1">
        <v>1</v>
      </c>
      <c r="L1522" s="1">
        <v>1</v>
      </c>
      <c r="M1522" s="4">
        <v>1330</v>
      </c>
      <c r="N1522" s="1">
        <v>608</v>
      </c>
      <c r="O1522" s="1">
        <v>1103</v>
      </c>
      <c r="P1522" s="1">
        <v>495</v>
      </c>
      <c r="Q1522" s="1" t="s">
        <v>42</v>
      </c>
      <c r="S1522" s="1" t="s">
        <v>42</v>
      </c>
      <c r="T1522" s="1" t="s">
        <v>153</v>
      </c>
      <c r="U1522" s="1">
        <v>310</v>
      </c>
      <c r="V1522" s="5">
        <v>44047</v>
      </c>
      <c r="W1522" s="5">
        <v>43600</v>
      </c>
      <c r="X1522" s="1">
        <v>1150000</v>
      </c>
      <c r="Y1522" s="1">
        <v>939000</v>
      </c>
      <c r="Z1522" s="5">
        <v>43991</v>
      </c>
      <c r="AA1522" s="1">
        <v>920000</v>
      </c>
      <c r="AB1522" s="1" t="s">
        <v>177</v>
      </c>
      <c r="AC1522" s="5">
        <v>44041</v>
      </c>
      <c r="AF1522" s="1">
        <v>10027</v>
      </c>
      <c r="AI1522" s="1" t="s">
        <v>120</v>
      </c>
      <c r="AJ1522" s="1">
        <v>2018</v>
      </c>
      <c r="AK1522" s="1" t="s">
        <v>86</v>
      </c>
      <c r="AL1522" s="1">
        <v>17</v>
      </c>
    </row>
    <row r="1523" spans="1:38" x14ac:dyDescent="0.2">
      <c r="A1523" s="2" t="str">
        <f>HYPERLINK("https://www.compass.com/listing/543-west-122nd-street-unit-11f-manhattan-ny-10027/239034579128786545/","543 W 122nd St, Unit 11F")</f>
        <v>543 W 122nd St, Unit 11F</v>
      </c>
      <c r="B1523" s="2" t="str">
        <f t="shared" ref="B1523:B1524" si="234">HYPERLINK("https://www.compass.com/building/vandewater-manhattan-ny/282058681657361477/","Vandewater")</f>
        <v>Vandewater</v>
      </c>
      <c r="C1523" s="1" t="s">
        <v>95</v>
      </c>
      <c r="D1523" s="1" t="s">
        <v>41</v>
      </c>
      <c r="E1523" s="3">
        <v>940000</v>
      </c>
      <c r="F1523" s="1">
        <v>1734.3173431734299</v>
      </c>
      <c r="G1523" s="1">
        <v>2</v>
      </c>
      <c r="H1523" s="1" t="s">
        <v>94</v>
      </c>
      <c r="I1523" s="1">
        <v>1</v>
      </c>
      <c r="J1523" s="1">
        <v>1</v>
      </c>
      <c r="K1523" s="1">
        <v>1</v>
      </c>
      <c r="M1523" s="1">
        <v>542</v>
      </c>
      <c r="N1523" s="1">
        <v>541</v>
      </c>
      <c r="O1523" s="1">
        <v>1188</v>
      </c>
      <c r="P1523" s="1">
        <v>647</v>
      </c>
      <c r="Q1523" s="1" t="s">
        <v>42</v>
      </c>
      <c r="S1523" s="1" t="s">
        <v>42</v>
      </c>
      <c r="T1523" s="1" t="s">
        <v>153</v>
      </c>
      <c r="U1523" s="1">
        <v>96</v>
      </c>
      <c r="V1523" s="5">
        <v>44426</v>
      </c>
      <c r="W1523" s="5">
        <v>43485</v>
      </c>
      <c r="X1523" s="1">
        <v>1020000</v>
      </c>
      <c r="Y1523" s="1">
        <v>1020000</v>
      </c>
      <c r="Z1523" s="5">
        <v>43582</v>
      </c>
      <c r="AA1523" s="1">
        <v>940000</v>
      </c>
      <c r="AB1523" s="1" t="s">
        <v>177</v>
      </c>
      <c r="AC1523" s="5">
        <v>44420</v>
      </c>
      <c r="AF1523" s="1">
        <v>10027</v>
      </c>
      <c r="AI1523" s="1" t="s">
        <v>96</v>
      </c>
      <c r="AJ1523" s="1">
        <v>2019</v>
      </c>
      <c r="AK1523" s="1" t="s">
        <v>46</v>
      </c>
      <c r="AL1523" s="1">
        <v>183</v>
      </c>
    </row>
    <row r="1524" spans="1:38" x14ac:dyDescent="0.2">
      <c r="A1524" s="2" t="str">
        <f>HYPERLINK("https://www.compass.com/listing/543-west-122nd-street-unit-9f-manhattan-ny-10027/242700892128692129/","543 W 122nd St, Unit 9F")</f>
        <v>543 W 122nd St, Unit 9F</v>
      </c>
      <c r="B1524" s="2" t="str">
        <f t="shared" si="234"/>
        <v>Vandewater</v>
      </c>
      <c r="C1524" s="1" t="s">
        <v>95</v>
      </c>
      <c r="D1524" s="1" t="s">
        <v>41</v>
      </c>
      <c r="E1524" s="3">
        <v>955628</v>
      </c>
      <c r="F1524" s="1">
        <v>1763.15060885608</v>
      </c>
      <c r="G1524" s="1">
        <v>2</v>
      </c>
      <c r="H1524" s="1" t="s">
        <v>94</v>
      </c>
      <c r="I1524" s="1">
        <v>1</v>
      </c>
      <c r="J1524" s="1">
        <v>1</v>
      </c>
      <c r="K1524" s="1">
        <v>1</v>
      </c>
      <c r="M1524" s="1">
        <v>542</v>
      </c>
      <c r="N1524" s="1">
        <v>541</v>
      </c>
      <c r="O1524" s="1">
        <v>1091</v>
      </c>
      <c r="P1524" s="1">
        <v>550</v>
      </c>
      <c r="Q1524" s="1" t="s">
        <v>42</v>
      </c>
      <c r="S1524" s="1" t="s">
        <v>42</v>
      </c>
      <c r="T1524" s="1" t="s">
        <v>153</v>
      </c>
      <c r="U1524" s="1">
        <v>101</v>
      </c>
      <c r="V1524" s="5">
        <v>44226</v>
      </c>
      <c r="W1524" s="5">
        <v>43485</v>
      </c>
      <c r="X1524" s="1">
        <v>1000000</v>
      </c>
      <c r="Y1524" s="1">
        <v>1000000</v>
      </c>
      <c r="Z1524" s="5">
        <v>43587</v>
      </c>
      <c r="AA1524" s="1">
        <v>955627.63</v>
      </c>
      <c r="AB1524" s="1" t="s">
        <v>1328</v>
      </c>
      <c r="AC1524" s="5">
        <v>44224</v>
      </c>
      <c r="AF1524" s="1">
        <v>10027</v>
      </c>
      <c r="AI1524" s="1" t="s">
        <v>96</v>
      </c>
      <c r="AJ1524" s="1">
        <v>2019</v>
      </c>
      <c r="AK1524" s="1" t="s">
        <v>46</v>
      </c>
      <c r="AL1524" s="1">
        <v>183</v>
      </c>
    </row>
    <row r="1525" spans="1:38" x14ac:dyDescent="0.2">
      <c r="A1525" s="2" t="str">
        <f>HYPERLINK("https://www.compass.com/listing/52-convent-avenue-unit-4b-manhattan-ny-10027/29515242975301169/","52 Convent Ave, Unit 4B")</f>
        <v>52 Convent Ave, Unit 4B</v>
      </c>
      <c r="B1525" s="2" t="str">
        <f t="shared" ref="B1525:B1528" si="235">HYPERLINK("https://www.compass.com/building/52-convent-avenue-manhattan-ny/292889753865529749/","52 Convent Avenue ")</f>
        <v xml:space="preserve">52 Convent Avenue </v>
      </c>
      <c r="C1525" s="1" t="s">
        <v>95</v>
      </c>
      <c r="D1525" s="1" t="s">
        <v>41</v>
      </c>
      <c r="E1525" s="3">
        <v>710739</v>
      </c>
      <c r="F1525" s="1">
        <v>1198.54721753794</v>
      </c>
      <c r="G1525" s="1">
        <v>2.5</v>
      </c>
      <c r="H1525" s="1">
        <v>1</v>
      </c>
      <c r="I1525" s="1">
        <v>1</v>
      </c>
      <c r="J1525" s="1">
        <v>1</v>
      </c>
      <c r="K1525" s="1">
        <v>1</v>
      </c>
      <c r="M1525" s="1">
        <v>593</v>
      </c>
      <c r="N1525" s="1">
        <v>422</v>
      </c>
      <c r="O1525" s="1">
        <v>527</v>
      </c>
      <c r="P1525" s="1">
        <v>105</v>
      </c>
      <c r="Q1525" s="1" t="s">
        <v>42</v>
      </c>
      <c r="S1525" s="1" t="s">
        <v>42</v>
      </c>
      <c r="T1525" s="1" t="s">
        <v>153</v>
      </c>
      <c r="V1525" s="5">
        <v>43830</v>
      </c>
      <c r="W1525" s="5">
        <v>43543</v>
      </c>
      <c r="X1525" s="1">
        <v>708000</v>
      </c>
      <c r="Y1525" s="1">
        <v>708000</v>
      </c>
      <c r="Z1525" s="5">
        <v>43543</v>
      </c>
      <c r="AA1525" s="1">
        <v>710738.5</v>
      </c>
      <c r="AB1525" s="1" t="s">
        <v>1329</v>
      </c>
      <c r="AC1525" s="5">
        <v>43816</v>
      </c>
      <c r="AF1525" s="1">
        <v>10027</v>
      </c>
      <c r="AI1525" s="1" t="s">
        <v>96</v>
      </c>
      <c r="AJ1525" s="1">
        <v>2018</v>
      </c>
      <c r="AK1525" s="1" t="s">
        <v>86</v>
      </c>
      <c r="AL1525" s="1">
        <v>17</v>
      </c>
    </row>
    <row r="1526" spans="1:38" x14ac:dyDescent="0.2">
      <c r="A1526" s="2" t="str">
        <f>HYPERLINK("https://www.compass.com/listing/52-convent-avenue-unit-3b-manhattan-ny-10027/29515675240355969/","52 Convent Ave, Unit 3B")</f>
        <v>52 Convent Ave, Unit 3B</v>
      </c>
      <c r="B1526" s="2" t="str">
        <f t="shared" si="235"/>
        <v xml:space="preserve">52 Convent Avenue </v>
      </c>
      <c r="C1526" s="1" t="s">
        <v>95</v>
      </c>
      <c r="D1526" s="1" t="s">
        <v>41</v>
      </c>
      <c r="E1526" s="3">
        <v>698000</v>
      </c>
      <c r="F1526" s="1">
        <v>1177.06576728499</v>
      </c>
      <c r="G1526" s="1">
        <v>3</v>
      </c>
      <c r="H1526" s="1">
        <v>1</v>
      </c>
      <c r="I1526" s="1">
        <v>1</v>
      </c>
      <c r="J1526" s="1">
        <v>1</v>
      </c>
      <c r="K1526" s="1">
        <v>1</v>
      </c>
      <c r="M1526" s="1">
        <v>593</v>
      </c>
      <c r="N1526" s="1">
        <v>416</v>
      </c>
      <c r="O1526" s="1">
        <v>519</v>
      </c>
      <c r="P1526" s="1">
        <v>103</v>
      </c>
      <c r="Q1526" s="1" t="s">
        <v>42</v>
      </c>
      <c r="S1526" s="1" t="s">
        <v>42</v>
      </c>
      <c r="T1526" s="1" t="s">
        <v>153</v>
      </c>
      <c r="V1526" s="5">
        <v>43851</v>
      </c>
      <c r="W1526" s="5">
        <v>43542</v>
      </c>
      <c r="X1526" s="1">
        <v>698000</v>
      </c>
      <c r="Y1526" s="1">
        <v>698000</v>
      </c>
      <c r="Z1526" s="5">
        <v>43542</v>
      </c>
      <c r="AA1526" s="1">
        <v>698000</v>
      </c>
      <c r="AB1526" s="1" t="s">
        <v>1330</v>
      </c>
      <c r="AC1526" s="5">
        <v>43839</v>
      </c>
      <c r="AF1526" s="1">
        <v>10027</v>
      </c>
      <c r="AI1526" s="1" t="s">
        <v>96</v>
      </c>
      <c r="AJ1526" s="1">
        <v>2018</v>
      </c>
      <c r="AK1526" s="1" t="s">
        <v>124</v>
      </c>
      <c r="AL1526" s="1">
        <v>17</v>
      </c>
    </row>
    <row r="1527" spans="1:38" x14ac:dyDescent="0.2">
      <c r="A1527" s="2" t="str">
        <f>HYPERLINK("https://www.compass.com/listing/52-convent-avenue-unit-2b-manhattan-ny-10027/29515676574070865/","52 Convent Ave, Unit 2B")</f>
        <v>52 Convent Ave, Unit 2B</v>
      </c>
      <c r="B1527" s="2" t="str">
        <f t="shared" si="235"/>
        <v xml:space="preserve">52 Convent Avenue </v>
      </c>
      <c r="C1527" s="1" t="s">
        <v>95</v>
      </c>
      <c r="D1527" s="1" t="s">
        <v>41</v>
      </c>
      <c r="E1527" s="3">
        <v>706388</v>
      </c>
      <c r="F1527" s="1">
        <v>1191.2099494097799</v>
      </c>
      <c r="G1527" s="1">
        <v>3</v>
      </c>
      <c r="H1527" s="1">
        <v>1</v>
      </c>
      <c r="I1527" s="1">
        <v>1</v>
      </c>
      <c r="J1527" s="1">
        <v>1</v>
      </c>
      <c r="K1527" s="1">
        <v>1</v>
      </c>
      <c r="M1527" s="1">
        <v>593</v>
      </c>
      <c r="N1527" s="1">
        <v>410</v>
      </c>
      <c r="O1527" s="1">
        <v>512</v>
      </c>
      <c r="P1527" s="1">
        <v>102</v>
      </c>
      <c r="Q1527" s="1" t="s">
        <v>42</v>
      </c>
      <c r="S1527" s="1" t="s">
        <v>42</v>
      </c>
      <c r="T1527" s="1" t="s">
        <v>153</v>
      </c>
      <c r="V1527" s="5">
        <v>43802</v>
      </c>
      <c r="W1527" s="5">
        <v>43543</v>
      </c>
      <c r="X1527" s="1">
        <v>700000</v>
      </c>
      <c r="Y1527" s="1">
        <v>700000</v>
      </c>
      <c r="Z1527" s="5">
        <v>43543</v>
      </c>
      <c r="AA1527" s="1">
        <v>706387.5</v>
      </c>
      <c r="AB1527" s="1" t="s">
        <v>1331</v>
      </c>
      <c r="AC1527" s="5">
        <v>43788</v>
      </c>
      <c r="AF1527" s="1">
        <v>10027</v>
      </c>
      <c r="AI1527" s="1" t="s">
        <v>96</v>
      </c>
      <c r="AJ1527" s="1">
        <v>2018</v>
      </c>
      <c r="AK1527" s="1" t="s">
        <v>86</v>
      </c>
      <c r="AL1527" s="1">
        <v>17</v>
      </c>
    </row>
    <row r="1528" spans="1:38" x14ac:dyDescent="0.2">
      <c r="A1528" s="2" t="str">
        <f>HYPERLINK("https://www.compass.com/listing/52-convent-avenue-unit-1b-manhattan-ny-10027/29515676859309953/","52 Convent Ave, Unit 1B")</f>
        <v>52 Convent Ave, Unit 1B</v>
      </c>
      <c r="B1528" s="2" t="str">
        <f t="shared" si="235"/>
        <v xml:space="preserve">52 Convent Avenue </v>
      </c>
      <c r="C1528" s="1" t="s">
        <v>95</v>
      </c>
      <c r="D1528" s="1" t="s">
        <v>41</v>
      </c>
      <c r="E1528" s="3">
        <v>688000</v>
      </c>
      <c r="F1528" s="1">
        <v>1160.20236087689</v>
      </c>
      <c r="G1528" s="1">
        <v>3</v>
      </c>
      <c r="H1528" s="1">
        <v>1</v>
      </c>
      <c r="I1528" s="1">
        <v>1</v>
      </c>
      <c r="J1528" s="1">
        <v>1</v>
      </c>
      <c r="K1528" s="1">
        <v>1</v>
      </c>
      <c r="M1528" s="1">
        <v>593</v>
      </c>
      <c r="N1528" s="1">
        <v>403</v>
      </c>
      <c r="O1528" s="1">
        <v>503</v>
      </c>
      <c r="P1528" s="1">
        <v>100</v>
      </c>
      <c r="Q1528" s="1" t="s">
        <v>42</v>
      </c>
      <c r="S1528" s="1" t="s">
        <v>42</v>
      </c>
      <c r="T1528" s="1" t="s">
        <v>153</v>
      </c>
      <c r="V1528" s="5">
        <v>43809</v>
      </c>
      <c r="W1528" s="5">
        <v>43543</v>
      </c>
      <c r="X1528" s="1">
        <v>688000</v>
      </c>
      <c r="Y1528" s="1">
        <v>688000</v>
      </c>
      <c r="Z1528" s="5">
        <v>43543</v>
      </c>
      <c r="AA1528" s="1">
        <v>688000</v>
      </c>
      <c r="AB1528" s="1" t="s">
        <v>1332</v>
      </c>
      <c r="AC1528" s="5">
        <v>43801</v>
      </c>
      <c r="AF1528" s="1">
        <v>10027</v>
      </c>
      <c r="AI1528" s="1" t="s">
        <v>96</v>
      </c>
      <c r="AJ1528" s="1">
        <v>2018</v>
      </c>
      <c r="AK1528" s="1" t="s">
        <v>86</v>
      </c>
      <c r="AL1528" s="1">
        <v>17</v>
      </c>
    </row>
    <row r="1529" spans="1:38" x14ac:dyDescent="0.2">
      <c r="A1529" s="2" t="str">
        <f>HYPERLINK("https://www.compass.com/listing/543-west-122nd-street-unit-8f-manhattan-ny-10027/253529751229161825/","543 W 122nd St, Unit 8F")</f>
        <v>543 W 122nd St, Unit 8F</v>
      </c>
      <c r="B1529" s="2" t="str">
        <f t="shared" ref="B1529:B1535" si="236">HYPERLINK("https://www.compass.com/building/vandewater-manhattan-ny/282058681657361477/","Vandewater")</f>
        <v>Vandewater</v>
      </c>
      <c r="C1529" s="1" t="s">
        <v>95</v>
      </c>
      <c r="D1529" s="1" t="s">
        <v>41</v>
      </c>
      <c r="E1529" s="3">
        <v>943500</v>
      </c>
      <c r="F1529" s="1">
        <v>1740.7749077490701</v>
      </c>
      <c r="G1529" s="1">
        <v>2</v>
      </c>
      <c r="H1529" s="1" t="s">
        <v>94</v>
      </c>
      <c r="I1529" s="1">
        <v>1</v>
      </c>
      <c r="J1529" s="1">
        <v>1</v>
      </c>
      <c r="K1529" s="1">
        <v>1</v>
      </c>
      <c r="M1529" s="1">
        <v>542</v>
      </c>
      <c r="N1529" s="1">
        <v>541</v>
      </c>
      <c r="O1529" s="1">
        <v>1091</v>
      </c>
      <c r="P1529" s="1">
        <v>550</v>
      </c>
      <c r="Q1529" s="1" t="s">
        <v>42</v>
      </c>
      <c r="S1529" s="1" t="s">
        <v>42</v>
      </c>
      <c r="T1529" s="1" t="s">
        <v>153</v>
      </c>
      <c r="U1529" s="1">
        <v>116</v>
      </c>
      <c r="V1529" s="5">
        <v>44204</v>
      </c>
      <c r="W1529" s="5">
        <v>43485</v>
      </c>
      <c r="X1529" s="1">
        <v>990000</v>
      </c>
      <c r="Y1529" s="1">
        <v>990000</v>
      </c>
      <c r="Z1529" s="5">
        <v>43602</v>
      </c>
      <c r="AA1529" s="1">
        <v>943500</v>
      </c>
      <c r="AB1529" s="1" t="s">
        <v>1333</v>
      </c>
      <c r="AC1529" s="5">
        <v>44188</v>
      </c>
      <c r="AF1529" s="1">
        <v>10027</v>
      </c>
      <c r="AI1529" s="1" t="s">
        <v>96</v>
      </c>
      <c r="AJ1529" s="1">
        <v>2019</v>
      </c>
      <c r="AK1529" s="1" t="s">
        <v>46</v>
      </c>
      <c r="AL1529" s="1">
        <v>183</v>
      </c>
    </row>
    <row r="1530" spans="1:38" x14ac:dyDescent="0.2">
      <c r="A1530" s="2" t="str">
        <f>HYPERLINK("https://www.compass.com/listing/543-west-122nd-street-unit-12f-manhattan-ny-10027/297589730690262241/","543 W 122nd St, Unit 12F")</f>
        <v>543 W 122nd St, Unit 12F</v>
      </c>
      <c r="B1530" s="2" t="str">
        <f t="shared" si="236"/>
        <v>Vandewater</v>
      </c>
      <c r="C1530" s="1" t="s">
        <v>95</v>
      </c>
      <c r="D1530" s="1" t="s">
        <v>41</v>
      </c>
      <c r="E1530" s="3">
        <v>884350</v>
      </c>
      <c r="F1530" s="1">
        <v>1631.6423062730601</v>
      </c>
      <c r="G1530" s="1">
        <v>2</v>
      </c>
      <c r="H1530" s="1" t="s">
        <v>94</v>
      </c>
      <c r="I1530" s="1">
        <v>1</v>
      </c>
      <c r="J1530" s="1">
        <v>1</v>
      </c>
      <c r="K1530" s="1">
        <v>1</v>
      </c>
      <c r="M1530" s="1">
        <v>542</v>
      </c>
      <c r="N1530" s="1">
        <v>541</v>
      </c>
      <c r="O1530" s="1">
        <v>1188</v>
      </c>
      <c r="P1530" s="1">
        <v>647</v>
      </c>
      <c r="Q1530" s="1" t="s">
        <v>42</v>
      </c>
      <c r="S1530" s="1" t="s">
        <v>42</v>
      </c>
      <c r="T1530" s="1" t="s">
        <v>153</v>
      </c>
      <c r="U1530" s="1">
        <v>177</v>
      </c>
      <c r="V1530" s="5">
        <v>44268</v>
      </c>
      <c r="W1530" s="5">
        <v>43485</v>
      </c>
      <c r="X1530" s="1">
        <v>1030000</v>
      </c>
      <c r="Y1530" s="1">
        <v>1030000</v>
      </c>
      <c r="Z1530" s="5">
        <v>43662</v>
      </c>
      <c r="AA1530" s="1">
        <v>884350.13</v>
      </c>
      <c r="AB1530" s="1" t="s">
        <v>1334</v>
      </c>
      <c r="AC1530" s="5">
        <v>44256</v>
      </c>
      <c r="AF1530" s="1">
        <v>10027</v>
      </c>
      <c r="AI1530" s="1" t="s">
        <v>96</v>
      </c>
      <c r="AJ1530" s="1">
        <v>2019</v>
      </c>
      <c r="AK1530" s="1" t="s">
        <v>46</v>
      </c>
      <c r="AL1530" s="1">
        <v>183</v>
      </c>
    </row>
    <row r="1531" spans="1:38" x14ac:dyDescent="0.2">
      <c r="A1531" s="2" t="str">
        <f>HYPERLINK("https://www.compass.com/listing/543-west-122nd-street-unit-15f-manhattan-ny-10027/303527401686239249/","543 W 122nd St, Unit 15F")</f>
        <v>543 W 122nd St, Unit 15F</v>
      </c>
      <c r="B1531" s="2" t="str">
        <f t="shared" si="236"/>
        <v>Vandewater</v>
      </c>
      <c r="C1531" s="1" t="s">
        <v>95</v>
      </c>
      <c r="D1531" s="1" t="s">
        <v>41</v>
      </c>
      <c r="E1531" s="3">
        <v>996358</v>
      </c>
      <c r="F1531" s="1">
        <v>1838.2982103321001</v>
      </c>
      <c r="G1531" s="1">
        <v>2.5</v>
      </c>
      <c r="H1531" s="1" t="s">
        <v>94</v>
      </c>
      <c r="I1531" s="1">
        <v>1</v>
      </c>
      <c r="J1531" s="1">
        <v>1</v>
      </c>
      <c r="K1531" s="1">
        <v>1</v>
      </c>
      <c r="M1531" s="1">
        <v>542</v>
      </c>
      <c r="N1531" s="1">
        <v>541</v>
      </c>
      <c r="O1531" s="1">
        <v>1188</v>
      </c>
      <c r="P1531" s="1">
        <v>647</v>
      </c>
      <c r="Q1531" s="1" t="s">
        <v>42</v>
      </c>
      <c r="S1531" s="1" t="s">
        <v>42</v>
      </c>
      <c r="T1531" s="1" t="s">
        <v>153</v>
      </c>
      <c r="U1531" s="1">
        <v>185</v>
      </c>
      <c r="V1531" s="5">
        <v>44271</v>
      </c>
      <c r="W1531" s="5">
        <v>43485</v>
      </c>
      <c r="X1531" s="1">
        <v>1050000</v>
      </c>
      <c r="Y1531" s="1">
        <v>1050000</v>
      </c>
      <c r="Z1531" s="5">
        <v>43671</v>
      </c>
      <c r="AA1531" s="1">
        <v>996357.63</v>
      </c>
      <c r="AB1531" s="1" t="s">
        <v>1335</v>
      </c>
      <c r="AC1531" s="5">
        <v>44267</v>
      </c>
      <c r="AF1531" s="1">
        <v>10027</v>
      </c>
      <c r="AI1531" s="1" t="s">
        <v>151</v>
      </c>
      <c r="AJ1531" s="1">
        <v>2019</v>
      </c>
      <c r="AK1531" s="1" t="s">
        <v>46</v>
      </c>
      <c r="AL1531" s="1">
        <v>183</v>
      </c>
    </row>
    <row r="1532" spans="1:38" x14ac:dyDescent="0.2">
      <c r="A1532" s="2" t="str">
        <f>HYPERLINK("https://www.compass.com/listing/543-west-122nd-street-unit-7c-manhattan-ny-10027/775231627535928473/","543 W 122nd St, Unit 7C")</f>
        <v>543 W 122nd St, Unit 7C</v>
      </c>
      <c r="B1532" s="2" t="str">
        <f t="shared" si="236"/>
        <v>Vandewater</v>
      </c>
      <c r="C1532" s="1" t="s">
        <v>95</v>
      </c>
      <c r="D1532" s="1" t="s">
        <v>41</v>
      </c>
      <c r="E1532" s="3">
        <v>1803830</v>
      </c>
      <c r="F1532" s="1">
        <v>1451.1905711987099</v>
      </c>
      <c r="G1532" s="1">
        <v>5</v>
      </c>
      <c r="H1532" s="1">
        <v>2</v>
      </c>
      <c r="I1532" s="1">
        <v>3</v>
      </c>
      <c r="J1532" s="1">
        <v>2.5</v>
      </c>
      <c r="K1532" s="1">
        <v>2</v>
      </c>
      <c r="L1532" s="1">
        <v>1</v>
      </c>
      <c r="M1532" s="4">
        <v>1243</v>
      </c>
      <c r="N1532" s="1">
        <v>1236</v>
      </c>
      <c r="O1532" s="1">
        <v>2719</v>
      </c>
      <c r="P1532" s="1">
        <v>1483</v>
      </c>
      <c r="Q1532" s="1" t="s">
        <v>42</v>
      </c>
      <c r="S1532" s="1" t="s">
        <v>42</v>
      </c>
      <c r="T1532" s="1" t="s">
        <v>153</v>
      </c>
      <c r="V1532" s="5">
        <v>44352</v>
      </c>
      <c r="W1532" s="5">
        <v>44321</v>
      </c>
      <c r="X1532" s="1">
        <v>1825000</v>
      </c>
      <c r="Y1532" s="1">
        <v>1825000</v>
      </c>
      <c r="Z1532" s="5">
        <v>44321</v>
      </c>
      <c r="AA1532" s="1">
        <v>1803829.88</v>
      </c>
      <c r="AB1532" s="1" t="s">
        <v>1336</v>
      </c>
      <c r="AC1532" s="5">
        <v>44350</v>
      </c>
      <c r="AF1532" s="1">
        <v>10027</v>
      </c>
      <c r="AI1532" s="1" t="s">
        <v>96</v>
      </c>
      <c r="AJ1532" s="1">
        <v>2019</v>
      </c>
      <c r="AK1532" s="1" t="s">
        <v>46</v>
      </c>
      <c r="AL1532" s="1">
        <v>183</v>
      </c>
    </row>
    <row r="1533" spans="1:38" x14ac:dyDescent="0.2">
      <c r="A1533" s="2" t="str">
        <f>HYPERLINK("https://www.compass.com/listing/543-west-122nd-street-unit-10g-manhattan-ny-10027/233096024149774225/","543 W 122nd St, Unit 10G")</f>
        <v>543 W 122nd St, Unit 10G</v>
      </c>
      <c r="B1533" s="2" t="str">
        <f t="shared" si="236"/>
        <v>Vandewater</v>
      </c>
      <c r="C1533" s="1" t="s">
        <v>95</v>
      </c>
      <c r="D1533" s="1" t="s">
        <v>41</v>
      </c>
      <c r="E1533" s="3">
        <v>1212736</v>
      </c>
      <c r="F1533" s="1">
        <v>1514.02715355805</v>
      </c>
      <c r="G1533" s="1">
        <v>3</v>
      </c>
      <c r="H1533" s="1">
        <v>1</v>
      </c>
      <c r="I1533" s="1">
        <v>1</v>
      </c>
      <c r="J1533" s="1">
        <v>1</v>
      </c>
      <c r="K1533" s="1">
        <v>1</v>
      </c>
      <c r="M1533" s="1">
        <v>801</v>
      </c>
      <c r="N1533" s="1">
        <v>799</v>
      </c>
      <c r="O1533" s="1">
        <v>1755</v>
      </c>
      <c r="P1533" s="1">
        <v>956</v>
      </c>
      <c r="Q1533" s="1" t="s">
        <v>42</v>
      </c>
      <c r="S1533" s="1" t="s">
        <v>42</v>
      </c>
      <c r="T1533" s="1" t="s">
        <v>153</v>
      </c>
      <c r="U1533" s="1">
        <v>88</v>
      </c>
      <c r="V1533" s="5">
        <v>44317</v>
      </c>
      <c r="W1533" s="5">
        <v>43485</v>
      </c>
      <c r="X1533" s="1">
        <v>1305000</v>
      </c>
      <c r="Y1533" s="1">
        <v>1305000</v>
      </c>
      <c r="Z1533" s="5">
        <v>43573</v>
      </c>
      <c r="AA1533" s="1">
        <v>1212735.75</v>
      </c>
      <c r="AB1533" s="1" t="s">
        <v>1337</v>
      </c>
      <c r="AC1533" s="5">
        <v>44316</v>
      </c>
      <c r="AF1533" s="1">
        <v>10027</v>
      </c>
      <c r="AI1533" s="1" t="s">
        <v>96</v>
      </c>
      <c r="AJ1533" s="1">
        <v>2019</v>
      </c>
      <c r="AK1533" s="1" t="s">
        <v>46</v>
      </c>
      <c r="AL1533" s="1">
        <v>183</v>
      </c>
    </row>
    <row r="1534" spans="1:38" x14ac:dyDescent="0.2">
      <c r="A1534" s="2" t="str">
        <f>HYPERLINK("https://www.compass.com/listing/543-west-122nd-street-unit-7g-manhattan-ny-10027/426082496883178289/","543 W 122nd St, Unit 7G")</f>
        <v>543 W 122nd St, Unit 7G</v>
      </c>
      <c r="B1534" s="2" t="str">
        <f t="shared" si="236"/>
        <v>Vandewater</v>
      </c>
      <c r="C1534" s="1" t="s">
        <v>95</v>
      </c>
      <c r="D1534" s="1" t="s">
        <v>41</v>
      </c>
      <c r="E1534" s="3">
        <v>1225000</v>
      </c>
      <c r="F1534" s="1">
        <v>1529.3383270911299</v>
      </c>
      <c r="G1534" s="1">
        <v>3</v>
      </c>
      <c r="H1534" s="1">
        <v>1</v>
      </c>
      <c r="I1534" s="1">
        <v>1</v>
      </c>
      <c r="J1534" s="1">
        <v>1</v>
      </c>
      <c r="K1534" s="1">
        <v>1</v>
      </c>
      <c r="M1534" s="1">
        <v>801</v>
      </c>
      <c r="N1534" s="1">
        <v>796</v>
      </c>
      <c r="O1534" s="1">
        <v>1752</v>
      </c>
      <c r="P1534" s="1">
        <v>956</v>
      </c>
      <c r="Q1534" s="1" t="s">
        <v>42</v>
      </c>
      <c r="S1534" s="1" t="s">
        <v>42</v>
      </c>
      <c r="T1534" s="1" t="s">
        <v>153</v>
      </c>
      <c r="V1534" s="5">
        <v>44369</v>
      </c>
      <c r="W1534" s="5">
        <v>44321</v>
      </c>
      <c r="X1534" s="1">
        <v>1260000</v>
      </c>
      <c r="Y1534" s="1">
        <v>1260000</v>
      </c>
      <c r="Z1534" s="5">
        <v>44321</v>
      </c>
      <c r="AA1534" s="1">
        <v>1225000</v>
      </c>
      <c r="AB1534" s="1" t="s">
        <v>1338</v>
      </c>
      <c r="AC1534" s="5">
        <v>44368</v>
      </c>
      <c r="AF1534" s="1">
        <v>10027</v>
      </c>
      <c r="AI1534" s="1" t="s">
        <v>96</v>
      </c>
      <c r="AJ1534" s="1">
        <v>2019</v>
      </c>
      <c r="AK1534" s="1" t="s">
        <v>46</v>
      </c>
      <c r="AL1534" s="1">
        <v>183</v>
      </c>
    </row>
    <row r="1535" spans="1:38" x14ac:dyDescent="0.2">
      <c r="A1535" s="2" t="str">
        <f>HYPERLINK("https://www.compass.com/listing/543-west-122nd-street-unit-23e-manhattan-ny-10027/770347978130940545/","543 W 122nd St, Unit 23E")</f>
        <v>543 W 122nd St, Unit 23E</v>
      </c>
      <c r="B1535" s="2" t="str">
        <f t="shared" si="236"/>
        <v>Vandewater</v>
      </c>
      <c r="C1535" s="1" t="s">
        <v>95</v>
      </c>
      <c r="D1535" s="1" t="s">
        <v>41</v>
      </c>
      <c r="E1535" s="3">
        <v>2300000</v>
      </c>
      <c r="F1535" s="1">
        <v>1784.3289371605799</v>
      </c>
      <c r="G1535" s="1">
        <v>4</v>
      </c>
      <c r="H1535" s="1">
        <v>2</v>
      </c>
      <c r="I1535" s="1">
        <v>2</v>
      </c>
      <c r="J1535" s="1">
        <v>2</v>
      </c>
      <c r="K1535" s="1">
        <v>2</v>
      </c>
      <c r="M1535" s="4">
        <v>1289</v>
      </c>
      <c r="N1535" s="1">
        <v>1282</v>
      </c>
      <c r="O1535" s="1">
        <v>2820</v>
      </c>
      <c r="P1535" s="1">
        <v>1538</v>
      </c>
      <c r="Q1535" s="1" t="s">
        <v>42</v>
      </c>
      <c r="S1535" s="1" t="s">
        <v>42</v>
      </c>
      <c r="T1535" s="1" t="s">
        <v>153</v>
      </c>
      <c r="V1535" s="5">
        <v>44369</v>
      </c>
      <c r="W1535" s="5">
        <v>44314</v>
      </c>
      <c r="X1535" s="1">
        <v>2325000</v>
      </c>
      <c r="Y1535" s="1">
        <v>2325000</v>
      </c>
      <c r="Z1535" s="5">
        <v>44315</v>
      </c>
      <c r="AA1535" s="1">
        <v>2300000</v>
      </c>
      <c r="AB1535" s="1" t="s">
        <v>1339</v>
      </c>
      <c r="AC1535" s="5">
        <v>44362</v>
      </c>
      <c r="AF1535" s="1">
        <v>10027</v>
      </c>
      <c r="AI1535" s="1" t="s">
        <v>96</v>
      </c>
      <c r="AJ1535" s="1">
        <v>2019</v>
      </c>
      <c r="AK1535" s="1" t="s">
        <v>46</v>
      </c>
      <c r="AL1535" s="1">
        <v>183</v>
      </c>
    </row>
    <row r="1536" spans="1:38" x14ac:dyDescent="0.2">
      <c r="A1536" s="2" t="str">
        <f>HYPERLINK("https://www.compass.com/listing/2457-frederick-douglass-boulevard-unit-4a-manhattan-ny-10027/319293426734129777/","2457 Frederick Douglass Blvd, Unit 4A")</f>
        <v>2457 Frederick Douglass Blvd, Unit 4A</v>
      </c>
      <c r="B1536" s="2" t="str">
        <f>HYPERLINK("https://www.compass.com/building/2457-frederick-douglass-blvd-manhattan-ny-10027/293531002213539157/","2457 Frederick Douglass Blvd")</f>
        <v>2457 Frederick Douglass Blvd</v>
      </c>
      <c r="C1536" s="1" t="s">
        <v>141</v>
      </c>
      <c r="D1536" s="1" t="s">
        <v>41</v>
      </c>
      <c r="E1536" s="3">
        <v>640000</v>
      </c>
      <c r="F1536" s="1">
        <v>946.74556213017695</v>
      </c>
      <c r="G1536" s="1">
        <v>3</v>
      </c>
      <c r="H1536" s="1">
        <v>1</v>
      </c>
      <c r="I1536" s="1">
        <v>1</v>
      </c>
      <c r="J1536" s="1">
        <v>1</v>
      </c>
      <c r="K1536" s="1">
        <v>1</v>
      </c>
      <c r="M1536" s="1">
        <v>676</v>
      </c>
      <c r="N1536" s="1">
        <v>373</v>
      </c>
      <c r="O1536" s="1">
        <v>373</v>
      </c>
      <c r="Q1536" s="1" t="s">
        <v>42</v>
      </c>
      <c r="S1536" s="1" t="s">
        <v>42</v>
      </c>
      <c r="T1536" s="1" t="s">
        <v>153</v>
      </c>
      <c r="U1536" s="1">
        <v>1</v>
      </c>
      <c r="V1536" s="5">
        <v>44134</v>
      </c>
      <c r="W1536" s="5">
        <v>43691</v>
      </c>
      <c r="X1536" s="1">
        <v>647000</v>
      </c>
      <c r="Y1536" s="1">
        <v>647000</v>
      </c>
      <c r="Z1536" s="5">
        <v>44006</v>
      </c>
      <c r="AA1536" s="1">
        <v>640000</v>
      </c>
      <c r="AB1536" s="1" t="s">
        <v>1340</v>
      </c>
      <c r="AC1536" s="5">
        <v>44120</v>
      </c>
      <c r="AF1536" s="1">
        <v>10027</v>
      </c>
      <c r="AI1536" s="1" t="s">
        <v>1258</v>
      </c>
      <c r="AJ1536" s="1">
        <v>2019</v>
      </c>
      <c r="AK1536" s="1" t="s">
        <v>359</v>
      </c>
      <c r="AL1536" s="1">
        <v>1</v>
      </c>
    </row>
    <row r="1537" spans="1:38" x14ac:dyDescent="0.2">
      <c r="A1537" s="2" t="str">
        <f>HYPERLINK("https://www.compass.com/listing/543-west-122nd-street-unit-29c-manhattan-ny-10027/233096024745391761/","543 W 122nd St, Unit 29C")</f>
        <v>543 W 122nd St, Unit 29C</v>
      </c>
      <c r="B1537" s="2" t="str">
        <f t="shared" ref="B1537:B1542" si="237">HYPERLINK("https://www.compass.com/building/vandewater-manhattan-ny/282058681657361477/","Vandewater")</f>
        <v>Vandewater</v>
      </c>
      <c r="C1537" s="1" t="s">
        <v>95</v>
      </c>
      <c r="D1537" s="1" t="s">
        <v>41</v>
      </c>
      <c r="E1537" s="3">
        <v>2505000</v>
      </c>
      <c r="F1537" s="1">
        <v>1907.8446306169001</v>
      </c>
      <c r="G1537" s="1">
        <v>4</v>
      </c>
      <c r="H1537" s="1">
        <v>2</v>
      </c>
      <c r="I1537" s="1">
        <v>2</v>
      </c>
      <c r="J1537" s="1">
        <v>2</v>
      </c>
      <c r="K1537" s="1">
        <v>2</v>
      </c>
      <c r="M1537" s="4">
        <v>1313</v>
      </c>
      <c r="N1537" s="1">
        <v>1309</v>
      </c>
      <c r="O1537" s="1">
        <v>2873</v>
      </c>
      <c r="P1537" s="1">
        <v>1564</v>
      </c>
      <c r="Q1537" s="1" t="s">
        <v>42</v>
      </c>
      <c r="S1537" s="1" t="s">
        <v>42</v>
      </c>
      <c r="T1537" s="1" t="s">
        <v>153</v>
      </c>
      <c r="U1537" s="1">
        <v>87</v>
      </c>
      <c r="V1537" s="5">
        <v>44378</v>
      </c>
      <c r="W1537" s="5">
        <v>43486</v>
      </c>
      <c r="X1537" s="1">
        <v>2490000</v>
      </c>
      <c r="Y1537" s="1">
        <v>2620000</v>
      </c>
      <c r="Z1537" s="5">
        <v>43573</v>
      </c>
      <c r="AA1537" s="1">
        <v>2505000</v>
      </c>
      <c r="AB1537" s="1" t="s">
        <v>1341</v>
      </c>
      <c r="AC1537" s="5">
        <v>44376</v>
      </c>
      <c r="AF1537" s="1">
        <v>10027</v>
      </c>
      <c r="AI1537" s="1" t="s">
        <v>96</v>
      </c>
      <c r="AJ1537" s="1">
        <v>2019</v>
      </c>
      <c r="AK1537" s="1" t="s">
        <v>46</v>
      </c>
      <c r="AL1537" s="1">
        <v>183</v>
      </c>
    </row>
    <row r="1538" spans="1:38" x14ac:dyDescent="0.2">
      <c r="A1538" s="2" t="str">
        <f>HYPERLINK("https://www.compass.com/listing/543-west-122nd-street-unit-22c-manhattan-ny-10027/563722946362143657/","543 W 122nd St, Unit 22C")</f>
        <v>543 W 122nd St, Unit 22C</v>
      </c>
      <c r="B1538" s="2" t="str">
        <f t="shared" si="237"/>
        <v>Vandewater</v>
      </c>
      <c r="C1538" s="1" t="s">
        <v>95</v>
      </c>
      <c r="D1538" s="1" t="s">
        <v>41</v>
      </c>
      <c r="E1538" s="3">
        <v>2122500</v>
      </c>
      <c r="F1538" s="1">
        <v>1683.1879460745399</v>
      </c>
      <c r="G1538" s="1">
        <v>4</v>
      </c>
      <c r="H1538" s="1">
        <v>2</v>
      </c>
      <c r="I1538" s="1">
        <v>2</v>
      </c>
      <c r="J1538" s="1">
        <v>2</v>
      </c>
      <c r="K1538" s="1">
        <v>2</v>
      </c>
      <c r="M1538" s="4">
        <v>1261</v>
      </c>
      <c r="N1538" s="1">
        <v>1239</v>
      </c>
      <c r="O1538" s="1">
        <v>2726</v>
      </c>
      <c r="P1538" s="1">
        <v>1487</v>
      </c>
      <c r="Q1538" s="1" t="s">
        <v>42</v>
      </c>
      <c r="S1538" s="1" t="s">
        <v>42</v>
      </c>
      <c r="T1538" s="1" t="s">
        <v>153</v>
      </c>
      <c r="V1538" s="5">
        <v>44328</v>
      </c>
      <c r="W1538" s="5">
        <v>44270</v>
      </c>
      <c r="X1538" s="1">
        <v>2110000</v>
      </c>
      <c r="Y1538" s="1">
        <v>2110000</v>
      </c>
      <c r="Z1538" s="5">
        <v>44271</v>
      </c>
      <c r="AA1538" s="1">
        <v>2122500</v>
      </c>
      <c r="AB1538" s="1" t="s">
        <v>1342</v>
      </c>
      <c r="AC1538" s="5">
        <v>44326</v>
      </c>
      <c r="AF1538" s="1">
        <v>10027</v>
      </c>
      <c r="AI1538" s="1" t="s">
        <v>96</v>
      </c>
      <c r="AJ1538" s="1">
        <v>2019</v>
      </c>
      <c r="AK1538" s="1" t="s">
        <v>46</v>
      </c>
      <c r="AL1538" s="1">
        <v>183</v>
      </c>
    </row>
    <row r="1539" spans="1:38" x14ac:dyDescent="0.2">
      <c r="A1539" s="2" t="str">
        <f>HYPERLINK("https://www.compass.com/listing/543-west-122nd-street-unit-17f-manhattan-ny-10027/303527402155873361/","543 W 122nd St, Unit 17F")</f>
        <v>543 W 122nd St, Unit 17F</v>
      </c>
      <c r="B1539" s="2" t="str">
        <f t="shared" si="237"/>
        <v>Vandewater</v>
      </c>
      <c r="C1539" s="1" t="s">
        <v>95</v>
      </c>
      <c r="D1539" s="1" t="s">
        <v>41</v>
      </c>
      <c r="E1539" s="3">
        <v>1373110</v>
      </c>
      <c r="F1539" s="1">
        <v>1873.2743929058599</v>
      </c>
      <c r="G1539" s="1">
        <v>3</v>
      </c>
      <c r="H1539" s="1">
        <v>1</v>
      </c>
      <c r="I1539" s="1">
        <v>1</v>
      </c>
      <c r="J1539" s="1">
        <v>1</v>
      </c>
      <c r="K1539" s="1">
        <v>1</v>
      </c>
      <c r="M1539" s="1">
        <v>733</v>
      </c>
      <c r="N1539" s="1">
        <v>752</v>
      </c>
      <c r="O1539" s="1">
        <v>1652</v>
      </c>
      <c r="P1539" s="1">
        <v>900</v>
      </c>
      <c r="Q1539" s="1" t="s">
        <v>42</v>
      </c>
      <c r="S1539" s="1" t="s">
        <v>42</v>
      </c>
      <c r="T1539" s="1" t="s">
        <v>153</v>
      </c>
      <c r="U1539" s="1">
        <v>185</v>
      </c>
      <c r="V1539" s="5">
        <v>44292</v>
      </c>
      <c r="W1539" s="5">
        <v>43485</v>
      </c>
      <c r="X1539" s="1">
        <v>1375000</v>
      </c>
      <c r="Y1539" s="1">
        <v>1375000</v>
      </c>
      <c r="Z1539" s="5">
        <v>43671</v>
      </c>
      <c r="AA1539" s="1">
        <v>1373110.13</v>
      </c>
      <c r="AB1539" s="1" t="s">
        <v>1343</v>
      </c>
      <c r="AC1539" s="5">
        <v>44288</v>
      </c>
      <c r="AF1539" s="1">
        <v>10027</v>
      </c>
      <c r="AI1539" s="1" t="s">
        <v>120</v>
      </c>
      <c r="AJ1539" s="1">
        <v>2019</v>
      </c>
      <c r="AK1539" s="1" t="s">
        <v>46</v>
      </c>
      <c r="AL1539" s="1">
        <v>183</v>
      </c>
    </row>
    <row r="1540" spans="1:38" x14ac:dyDescent="0.2">
      <c r="A1540" s="2" t="str">
        <f>HYPERLINK("https://www.compass.com/listing/543-west-122nd-street-unit-11e-manhattan-ny-10027/349820962823834625/","543 W 122nd St, Unit 11E")</f>
        <v>543 W 122nd St, Unit 11E</v>
      </c>
      <c r="B1540" s="2" t="str">
        <f t="shared" si="237"/>
        <v>Vandewater</v>
      </c>
      <c r="C1540" s="1" t="s">
        <v>95</v>
      </c>
      <c r="D1540" s="1" t="s">
        <v>41</v>
      </c>
      <c r="E1540" s="3">
        <v>1880000</v>
      </c>
      <c r="F1540" s="1">
        <v>1581.16063919259</v>
      </c>
      <c r="G1540" s="1">
        <v>4</v>
      </c>
      <c r="H1540" s="1">
        <v>2</v>
      </c>
      <c r="I1540" s="1">
        <v>2</v>
      </c>
      <c r="J1540" s="1">
        <v>2</v>
      </c>
      <c r="K1540" s="1">
        <v>2</v>
      </c>
      <c r="M1540" s="4">
        <v>1189</v>
      </c>
      <c r="N1540" s="1">
        <v>1182</v>
      </c>
      <c r="O1540" s="1">
        <v>2388</v>
      </c>
      <c r="P1540" s="1">
        <v>1206</v>
      </c>
      <c r="Q1540" s="1" t="s">
        <v>42</v>
      </c>
      <c r="S1540" s="1" t="s">
        <v>42</v>
      </c>
      <c r="T1540" s="1" t="s">
        <v>153</v>
      </c>
      <c r="U1540" s="1">
        <v>249</v>
      </c>
      <c r="V1540" s="5">
        <v>44240</v>
      </c>
      <c r="W1540" s="5">
        <v>43485</v>
      </c>
      <c r="X1540" s="1">
        <v>1950000</v>
      </c>
      <c r="Y1540" s="1">
        <v>1950000</v>
      </c>
      <c r="Z1540" s="5">
        <v>43734</v>
      </c>
      <c r="AA1540" s="1">
        <v>1880000</v>
      </c>
      <c r="AB1540" s="1" t="s">
        <v>1344</v>
      </c>
      <c r="AC1540" s="5">
        <v>44238</v>
      </c>
      <c r="AF1540" s="1">
        <v>10027</v>
      </c>
      <c r="AI1540" s="1" t="s">
        <v>131</v>
      </c>
      <c r="AJ1540" s="1">
        <v>2019</v>
      </c>
      <c r="AK1540" s="1" t="s">
        <v>46</v>
      </c>
      <c r="AL1540" s="1">
        <v>183</v>
      </c>
    </row>
    <row r="1541" spans="1:38" x14ac:dyDescent="0.2">
      <c r="A1541" s="2" t="str">
        <f>HYPERLINK("https://www.compass.com/listing/543-west-122nd-street-unit-12e-manhattan-ny-10027/558610028851246617/","543 W 122nd St, Unit 12E")</f>
        <v>543 W 122nd St, Unit 12E</v>
      </c>
      <c r="B1541" s="2" t="str">
        <f t="shared" si="237"/>
        <v>Vandewater</v>
      </c>
      <c r="C1541" s="1" t="s">
        <v>95</v>
      </c>
      <c r="D1541" s="1" t="s">
        <v>41</v>
      </c>
      <c r="E1541" s="3">
        <v>1950000</v>
      </c>
      <c r="F1541" s="1">
        <v>1640.03364171572</v>
      </c>
      <c r="G1541" s="1">
        <v>4</v>
      </c>
      <c r="H1541" s="1">
        <v>2</v>
      </c>
      <c r="I1541" s="1">
        <v>2</v>
      </c>
      <c r="J1541" s="1">
        <v>2</v>
      </c>
      <c r="K1541" s="1">
        <v>2</v>
      </c>
      <c r="M1541" s="4">
        <v>1189</v>
      </c>
      <c r="N1541" s="1">
        <v>1182</v>
      </c>
      <c r="O1541" s="1">
        <v>2601</v>
      </c>
      <c r="P1541" s="1">
        <v>1419</v>
      </c>
      <c r="Q1541" s="1" t="s">
        <v>42</v>
      </c>
      <c r="S1541" s="1" t="s">
        <v>42</v>
      </c>
      <c r="T1541" s="1" t="s">
        <v>153</v>
      </c>
      <c r="U1541" s="1">
        <v>443</v>
      </c>
      <c r="V1541" s="5">
        <v>44418</v>
      </c>
      <c r="W1541" s="5">
        <v>43485</v>
      </c>
      <c r="X1541" s="1">
        <v>1975000</v>
      </c>
      <c r="Y1541" s="1">
        <v>1975000</v>
      </c>
      <c r="Z1541" s="5">
        <v>44023</v>
      </c>
      <c r="AA1541" s="1">
        <v>1950000</v>
      </c>
      <c r="AB1541" s="1" t="s">
        <v>177</v>
      </c>
      <c r="AC1541" s="5">
        <v>44403</v>
      </c>
      <c r="AF1541" s="1">
        <v>10027</v>
      </c>
      <c r="AI1541" s="1" t="s">
        <v>96</v>
      </c>
      <c r="AJ1541" s="1">
        <v>2019</v>
      </c>
      <c r="AK1541" s="1" t="s">
        <v>46</v>
      </c>
      <c r="AL1541" s="1">
        <v>183</v>
      </c>
    </row>
    <row r="1542" spans="1:38" x14ac:dyDescent="0.2">
      <c r="A1542" s="2" t="str">
        <f>HYPERLINK("https://www.compass.com/listing/543-west-122nd-street-unit-20c-manhattan-ny-10027/832609103900330265/","543 W 122nd St, Unit 20C")</f>
        <v>543 W 122nd St, Unit 20C</v>
      </c>
      <c r="B1542" s="2" t="str">
        <f t="shared" si="237"/>
        <v>Vandewater</v>
      </c>
      <c r="C1542" s="1" t="s">
        <v>95</v>
      </c>
      <c r="D1542" s="1" t="s">
        <v>41</v>
      </c>
      <c r="E1542" s="3">
        <v>2108119</v>
      </c>
      <c r="F1542" s="1">
        <v>1671.78321173671</v>
      </c>
      <c r="G1542" s="1">
        <v>4</v>
      </c>
      <c r="H1542" s="1">
        <v>2</v>
      </c>
      <c r="I1542" s="1">
        <v>2</v>
      </c>
      <c r="J1542" s="1">
        <v>2</v>
      </c>
      <c r="K1542" s="1">
        <v>2</v>
      </c>
      <c r="M1542" s="4">
        <v>1261</v>
      </c>
      <c r="N1542" s="1">
        <v>1239</v>
      </c>
      <c r="O1542" s="1">
        <v>2726</v>
      </c>
      <c r="P1542" s="1">
        <v>1487</v>
      </c>
      <c r="Q1542" s="1" t="s">
        <v>42</v>
      </c>
      <c r="S1542" s="1" t="s">
        <v>42</v>
      </c>
      <c r="T1542" s="1" t="s">
        <v>153</v>
      </c>
      <c r="U1542" s="1">
        <v>820</v>
      </c>
      <c r="V1542" s="5">
        <v>44418</v>
      </c>
      <c r="W1542" s="5">
        <v>43486</v>
      </c>
      <c r="X1542" s="1">
        <v>1</v>
      </c>
      <c r="Y1542" s="1">
        <v>2100000</v>
      </c>
      <c r="Z1542" s="5">
        <v>44401</v>
      </c>
      <c r="AA1542" s="1">
        <v>2108118.63</v>
      </c>
      <c r="AB1542" s="1" t="s">
        <v>1345</v>
      </c>
      <c r="AC1542" s="5">
        <v>44404</v>
      </c>
      <c r="AF1542" s="1">
        <v>10027</v>
      </c>
      <c r="AI1542" s="1" t="s">
        <v>96</v>
      </c>
      <c r="AJ1542" s="1">
        <v>2019</v>
      </c>
      <c r="AK1542" s="1" t="s">
        <v>46</v>
      </c>
      <c r="AL1542" s="1">
        <v>183</v>
      </c>
    </row>
    <row r="1543" spans="1:38" x14ac:dyDescent="0.2">
      <c r="A1543" s="2" t="str">
        <f>HYPERLINK("https://www.compass.com/listing/105-bennett-avenue-unit-52b-manhattan-ny-10033/825076939155298873/","105 Bennett Ave, Unit 52B")</f>
        <v>105 Bennett Ave, Unit 52B</v>
      </c>
      <c r="B1543" s="2" t="str">
        <f>HYPERLINK("https://www.compass.com/building/105-bennett-ave-manhattan-ny-10033/282010034911706389/","105 Bennett Ave")</f>
        <v>105 Bennett Ave</v>
      </c>
      <c r="C1543" s="1" t="s">
        <v>122</v>
      </c>
      <c r="D1543" s="1" t="s">
        <v>41</v>
      </c>
      <c r="E1543" s="3">
        <v>450000</v>
      </c>
      <c r="F1543" s="1">
        <v>555.55555555555497</v>
      </c>
      <c r="H1543" s="1">
        <v>1</v>
      </c>
      <c r="J1543" s="1">
        <v>1</v>
      </c>
      <c r="K1543" s="1">
        <v>1</v>
      </c>
      <c r="M1543" s="1">
        <v>810</v>
      </c>
      <c r="N1543" s="1">
        <v>532</v>
      </c>
      <c r="O1543" s="1">
        <v>869</v>
      </c>
      <c r="P1543" s="1">
        <v>337</v>
      </c>
      <c r="Q1543" s="1" t="s">
        <v>42</v>
      </c>
      <c r="S1543" s="1" t="s">
        <v>42</v>
      </c>
      <c r="T1543" s="1" t="s">
        <v>153</v>
      </c>
      <c r="AA1543" s="1">
        <v>450000</v>
      </c>
      <c r="AB1543" s="1" t="s">
        <v>1346</v>
      </c>
      <c r="AC1543" s="5">
        <v>44354</v>
      </c>
      <c r="AF1543" s="1">
        <v>10033</v>
      </c>
      <c r="AJ1543" s="1">
        <v>1939</v>
      </c>
      <c r="AL1543" s="1">
        <v>65</v>
      </c>
    </row>
    <row r="1544" spans="1:38" x14ac:dyDescent="0.2">
      <c r="A1544" s="2" t="str">
        <f>HYPERLINK("https://www.compass.com/listing/52-convent-avenue-unit-ph-manhattan-ny-10027/29515677429708929/","52 Convent Ave, Unit PH")</f>
        <v>52 Convent Ave, Unit PH</v>
      </c>
      <c r="B1544" s="2" t="str">
        <f t="shared" ref="B1544:B1545" si="238">HYPERLINK("https://www.compass.com/building/52-convent-avenue-manhattan-ny/292889753865529749/","52 Convent Avenue ")</f>
        <v xml:space="preserve">52 Convent Avenue </v>
      </c>
      <c r="C1544" s="1" t="s">
        <v>95</v>
      </c>
      <c r="D1544" s="1" t="s">
        <v>41</v>
      </c>
      <c r="E1544" s="3">
        <v>1650000</v>
      </c>
      <c r="F1544" s="1">
        <v>1161.9718309859099</v>
      </c>
      <c r="G1544" s="1">
        <v>4</v>
      </c>
      <c r="H1544" s="1">
        <v>2</v>
      </c>
      <c r="I1544" s="1">
        <v>2</v>
      </c>
      <c r="J1544" s="1">
        <v>2</v>
      </c>
      <c r="K1544" s="1">
        <v>2</v>
      </c>
      <c r="M1544" s="4">
        <v>1420</v>
      </c>
      <c r="N1544" s="1">
        <v>999</v>
      </c>
      <c r="O1544" s="1">
        <v>2157</v>
      </c>
      <c r="P1544" s="1">
        <v>1158</v>
      </c>
      <c r="Q1544" s="1" t="s">
        <v>42</v>
      </c>
      <c r="S1544" s="1" t="s">
        <v>42</v>
      </c>
      <c r="T1544" s="1" t="s">
        <v>153</v>
      </c>
      <c r="V1544" s="5">
        <v>43872</v>
      </c>
      <c r="W1544" s="5">
        <v>43542</v>
      </c>
      <c r="X1544" s="1">
        <v>981000</v>
      </c>
      <c r="Y1544" s="1">
        <v>1735000</v>
      </c>
      <c r="Z1544" s="5">
        <v>43542</v>
      </c>
      <c r="AA1544" s="1">
        <v>1650000</v>
      </c>
      <c r="AB1544" s="1" t="s">
        <v>1347</v>
      </c>
      <c r="AC1544" s="5">
        <v>43858</v>
      </c>
      <c r="AF1544" s="1">
        <v>10027</v>
      </c>
      <c r="AI1544" s="1" t="s">
        <v>1348</v>
      </c>
      <c r="AJ1544" s="1">
        <v>2018</v>
      </c>
      <c r="AK1544" s="1" t="s">
        <v>124</v>
      </c>
      <c r="AL1544" s="1">
        <v>17</v>
      </c>
    </row>
    <row r="1545" spans="1:38" x14ac:dyDescent="0.2">
      <c r="A1545" s="2" t="str">
        <f>HYPERLINK("https://www.compass.com/listing/52-convent-avenue-unit-3c-manhattan-ny-10027/576671076711731625/","52 Convent Ave, Unit 3C")</f>
        <v>52 Convent Ave, Unit 3C</v>
      </c>
      <c r="B1545" s="2" t="str">
        <f t="shared" si="238"/>
        <v xml:space="preserve">52 Convent Avenue </v>
      </c>
      <c r="C1545" s="1" t="s">
        <v>126</v>
      </c>
      <c r="D1545" s="1" t="s">
        <v>41</v>
      </c>
      <c r="E1545" s="3">
        <v>1230000</v>
      </c>
      <c r="F1545" s="1">
        <v>985.57692307692298</v>
      </c>
      <c r="G1545" s="1">
        <v>5</v>
      </c>
      <c r="H1545" s="1">
        <v>3</v>
      </c>
      <c r="I1545" s="1">
        <v>2</v>
      </c>
      <c r="J1545" s="1">
        <v>2</v>
      </c>
      <c r="K1545" s="1">
        <v>2</v>
      </c>
      <c r="M1545" s="4">
        <v>1248</v>
      </c>
      <c r="N1545" s="1">
        <v>842</v>
      </c>
      <c r="O1545" s="1">
        <v>1049</v>
      </c>
      <c r="P1545" s="1">
        <v>207</v>
      </c>
      <c r="Q1545" s="1" t="s">
        <v>42</v>
      </c>
      <c r="S1545" s="1" t="s">
        <v>42</v>
      </c>
      <c r="T1545" s="1" t="s">
        <v>153</v>
      </c>
      <c r="U1545" s="1">
        <v>51</v>
      </c>
      <c r="V1545" s="5">
        <v>44095</v>
      </c>
      <c r="W1545" s="5">
        <v>43902</v>
      </c>
      <c r="X1545" s="1">
        <v>1265000</v>
      </c>
      <c r="Y1545" s="1">
        <v>1265000</v>
      </c>
      <c r="Z1545" s="5">
        <v>44047</v>
      </c>
      <c r="AA1545" s="1">
        <v>1230000</v>
      </c>
      <c r="AB1545" s="1" t="s">
        <v>1349</v>
      </c>
      <c r="AC1545" s="5">
        <v>44091</v>
      </c>
      <c r="AF1545" s="1">
        <v>10027</v>
      </c>
      <c r="AI1545" s="1" t="s">
        <v>1324</v>
      </c>
      <c r="AJ1545" s="1">
        <v>2018</v>
      </c>
      <c r="AK1545" s="1" t="s">
        <v>86</v>
      </c>
      <c r="AL1545" s="1">
        <v>17</v>
      </c>
    </row>
    <row r="1546" spans="1:38" x14ac:dyDescent="0.2">
      <c r="A1546" s="2" t="str">
        <f>HYPERLINK("https://www.compass.com/listing/543-west-122nd-street-unit-19c-manhattan-ny-10027/740449540795852921/","543 W 122nd St, Unit 19C")</f>
        <v>543 W 122nd St, Unit 19C</v>
      </c>
      <c r="B1546" s="2" t="str">
        <f>HYPERLINK("https://www.compass.com/building/vandewater-manhattan-ny/282058681657361477/","Vandewater")</f>
        <v>Vandewater</v>
      </c>
      <c r="C1546" s="1" t="s">
        <v>95</v>
      </c>
      <c r="D1546" s="1" t="s">
        <v>41</v>
      </c>
      <c r="E1546" s="3">
        <v>2025000</v>
      </c>
      <c r="F1546" s="1">
        <v>1605.8683584456701</v>
      </c>
      <c r="G1546" s="1">
        <v>4</v>
      </c>
      <c r="H1546" s="1">
        <v>2</v>
      </c>
      <c r="I1546" s="1">
        <v>2</v>
      </c>
      <c r="J1546" s="1">
        <v>2</v>
      </c>
      <c r="K1546" s="1">
        <v>2</v>
      </c>
      <c r="M1546" s="4">
        <v>1261</v>
      </c>
      <c r="N1546" s="1">
        <v>1239</v>
      </c>
      <c r="O1546" s="1">
        <v>2726</v>
      </c>
      <c r="P1546" s="1">
        <v>1487</v>
      </c>
      <c r="Q1546" s="1" t="s">
        <v>42</v>
      </c>
      <c r="S1546" s="1" t="s">
        <v>42</v>
      </c>
      <c r="T1546" s="1" t="s">
        <v>153</v>
      </c>
      <c r="U1546" s="1">
        <v>82</v>
      </c>
      <c r="V1546" s="5">
        <v>44416</v>
      </c>
      <c r="W1546" s="5">
        <v>44273</v>
      </c>
      <c r="X1546" s="1">
        <v>2050000</v>
      </c>
      <c r="Y1546" s="1">
        <v>2050000</v>
      </c>
      <c r="Z1546" s="5">
        <v>44355</v>
      </c>
      <c r="AA1546" s="1">
        <v>2025000</v>
      </c>
      <c r="AB1546" s="1" t="s">
        <v>1350</v>
      </c>
      <c r="AC1546" s="5">
        <v>44383</v>
      </c>
      <c r="AF1546" s="1">
        <v>10027</v>
      </c>
      <c r="AI1546" s="1" t="s">
        <v>96</v>
      </c>
      <c r="AJ1546" s="1">
        <v>2019</v>
      </c>
      <c r="AK1546" s="1" t="s">
        <v>46</v>
      </c>
      <c r="AL1546" s="1">
        <v>183</v>
      </c>
    </row>
    <row r="1547" spans="1:38" x14ac:dyDescent="0.2">
      <c r="A1547" s="2" t="str">
        <f>HYPERLINK("https://www.compass.com/listing/69-bennett-avenue-unit-102-manhattan-ny-10033/29436859839008849/","69 Bennett Ave, Unit 102")</f>
        <v>69 Bennett Ave, Unit 102</v>
      </c>
      <c r="B1547" s="2" t="str">
        <f t="shared" ref="B1547:B1548" si="239">HYPERLINK("https://www.compass.com/building/69-bennett-ave-manhattan-ny-10033/282013522349526869/","69 Bennett Ave")</f>
        <v>69 Bennett Ave</v>
      </c>
      <c r="C1547" s="1" t="s">
        <v>122</v>
      </c>
      <c r="D1547" s="1" t="s">
        <v>41</v>
      </c>
      <c r="E1547" s="3">
        <v>505000</v>
      </c>
      <c r="F1547" s="1">
        <v>627.32919254658304</v>
      </c>
      <c r="H1547" s="1">
        <v>1</v>
      </c>
      <c r="J1547" s="1">
        <v>1</v>
      </c>
      <c r="M1547" s="1">
        <v>805</v>
      </c>
      <c r="N1547" s="1">
        <v>611</v>
      </c>
      <c r="O1547" s="1">
        <v>978</v>
      </c>
      <c r="P1547" s="1">
        <v>367</v>
      </c>
      <c r="Q1547" s="1" t="s">
        <v>42</v>
      </c>
      <c r="S1547" s="1" t="s">
        <v>42</v>
      </c>
      <c r="T1547" s="1" t="s">
        <v>153</v>
      </c>
      <c r="AA1547" s="1">
        <v>505000</v>
      </c>
      <c r="AB1547" s="1" t="s">
        <v>1351</v>
      </c>
      <c r="AC1547" s="5">
        <v>43230</v>
      </c>
      <c r="AF1547" s="1">
        <v>10033</v>
      </c>
      <c r="AJ1547" s="1">
        <v>1954</v>
      </c>
      <c r="AL1547" s="1">
        <v>60</v>
      </c>
    </row>
    <row r="1548" spans="1:38" x14ac:dyDescent="0.2">
      <c r="A1548" s="2" t="str">
        <f>HYPERLINK("https://www.compass.com/listing/69-bennett-avenue-unit-202-manhattan-ny-10033/816018221627300769/","69 Bennett Ave, Unit 202")</f>
        <v>69 Bennett Ave, Unit 202</v>
      </c>
      <c r="B1548" s="2" t="str">
        <f t="shared" si="239"/>
        <v>69 Bennett Ave</v>
      </c>
      <c r="C1548" s="1" t="s">
        <v>122</v>
      </c>
      <c r="D1548" s="1" t="s">
        <v>41</v>
      </c>
      <c r="E1548" s="3">
        <v>510000</v>
      </c>
      <c r="F1548" s="1">
        <v>633.54037267080696</v>
      </c>
      <c r="H1548" s="1">
        <v>1</v>
      </c>
      <c r="J1548" s="1">
        <v>1</v>
      </c>
      <c r="K1548" s="1">
        <v>1</v>
      </c>
      <c r="M1548" s="1">
        <v>805</v>
      </c>
      <c r="N1548" s="1">
        <v>555</v>
      </c>
      <c r="O1548" s="1">
        <v>994</v>
      </c>
      <c r="P1548" s="1">
        <v>439</v>
      </c>
      <c r="Q1548" s="1" t="s">
        <v>42</v>
      </c>
      <c r="S1548" s="1" t="s">
        <v>42</v>
      </c>
      <c r="T1548" s="1" t="s">
        <v>153</v>
      </c>
      <c r="AA1548" s="1">
        <v>510000</v>
      </c>
      <c r="AB1548" s="1" t="s">
        <v>1352</v>
      </c>
      <c r="AC1548" s="5">
        <v>44343</v>
      </c>
      <c r="AF1548" s="1">
        <v>10033</v>
      </c>
      <c r="AJ1548" s="1">
        <v>1954</v>
      </c>
      <c r="AL1548" s="1">
        <v>60</v>
      </c>
    </row>
    <row r="1549" spans="1:38" x14ac:dyDescent="0.2">
      <c r="A1549" s="2" t="str">
        <f>HYPERLINK("https://www.compass.com/listing/543-west-122nd-street-unit-7e-manhattan-ny-10027/563710123795727673/","543 W 122nd St, Unit 7E")</f>
        <v>543 W 122nd St, Unit 7E</v>
      </c>
      <c r="B1549" s="2" t="str">
        <f t="shared" ref="B1549:B1565" si="240">HYPERLINK("https://www.compass.com/building/vandewater-manhattan-ny/282058681657361477/","Vandewater")</f>
        <v>Vandewater</v>
      </c>
      <c r="C1549" s="1" t="s">
        <v>95</v>
      </c>
      <c r="D1549" s="1" t="s">
        <v>41</v>
      </c>
      <c r="E1549" s="3">
        <v>1815000</v>
      </c>
      <c r="F1549" s="1">
        <v>1526.4928511354001</v>
      </c>
      <c r="G1549" s="1">
        <v>4</v>
      </c>
      <c r="H1549" s="1">
        <v>2</v>
      </c>
      <c r="I1549" s="1">
        <v>2</v>
      </c>
      <c r="J1549" s="1">
        <v>2</v>
      </c>
      <c r="K1549" s="1">
        <v>2</v>
      </c>
      <c r="M1549" s="4">
        <v>1189</v>
      </c>
      <c r="N1549" s="1">
        <v>1182</v>
      </c>
      <c r="O1549" s="1">
        <v>2388</v>
      </c>
      <c r="P1549" s="1">
        <v>1206</v>
      </c>
      <c r="Q1549" s="1" t="s">
        <v>42</v>
      </c>
      <c r="S1549" s="1" t="s">
        <v>42</v>
      </c>
      <c r="T1549" s="1" t="s">
        <v>153</v>
      </c>
      <c r="U1549" s="1">
        <v>91</v>
      </c>
      <c r="V1549" s="5">
        <v>44258</v>
      </c>
      <c r="W1549" s="5">
        <v>44253</v>
      </c>
      <c r="X1549" s="1">
        <v>1800000</v>
      </c>
      <c r="Y1549" s="1">
        <v>1800000</v>
      </c>
      <c r="AA1549" s="1">
        <v>1815000</v>
      </c>
      <c r="AB1549" s="1" t="s">
        <v>1353</v>
      </c>
      <c r="AC1549" s="5">
        <v>44253</v>
      </c>
      <c r="AF1549" s="1">
        <v>10027</v>
      </c>
      <c r="AI1549" s="1" t="s">
        <v>96</v>
      </c>
      <c r="AJ1549" s="1">
        <v>2019</v>
      </c>
      <c r="AK1549" s="1" t="s">
        <v>46</v>
      </c>
      <c r="AL1549" s="1">
        <v>183</v>
      </c>
    </row>
    <row r="1550" spans="1:38" x14ac:dyDescent="0.2">
      <c r="A1550" s="2" t="str">
        <f>HYPERLINK("https://www.compass.com/listing/543-west-122nd-street-unit-22g-manhattan-ny-10027/233096024460213377/","543 W 122nd St, Unit 22G")</f>
        <v>543 W 122nd St, Unit 22G</v>
      </c>
      <c r="B1550" s="2" t="str">
        <f t="shared" si="240"/>
        <v>Vandewater</v>
      </c>
      <c r="C1550" s="1" t="s">
        <v>95</v>
      </c>
      <c r="D1550" s="1" t="s">
        <v>41</v>
      </c>
      <c r="E1550" s="3">
        <v>3415000</v>
      </c>
      <c r="F1550" s="1">
        <v>1856.9874932028199</v>
      </c>
      <c r="G1550" s="1">
        <v>5</v>
      </c>
      <c r="H1550" s="1">
        <v>3</v>
      </c>
      <c r="I1550" s="1">
        <v>3</v>
      </c>
      <c r="J1550" s="1">
        <v>2</v>
      </c>
      <c r="K1550" s="1">
        <v>2</v>
      </c>
      <c r="M1550" s="4">
        <v>1839</v>
      </c>
      <c r="N1550" s="1">
        <v>1834</v>
      </c>
      <c r="O1550" s="1">
        <v>4028</v>
      </c>
      <c r="P1550" s="1">
        <v>2194</v>
      </c>
      <c r="Q1550" s="1" t="s">
        <v>42</v>
      </c>
      <c r="S1550" s="1" t="s">
        <v>42</v>
      </c>
      <c r="T1550" s="1" t="s">
        <v>153</v>
      </c>
      <c r="U1550" s="1">
        <v>88</v>
      </c>
      <c r="V1550" s="5">
        <v>44314</v>
      </c>
      <c r="W1550" s="5">
        <v>43485</v>
      </c>
      <c r="X1550" s="1">
        <v>3280000</v>
      </c>
      <c r="Y1550" s="1">
        <v>3280000</v>
      </c>
      <c r="Z1550" s="5">
        <v>43573</v>
      </c>
      <c r="AA1550" s="1">
        <v>3415000</v>
      </c>
      <c r="AB1550" s="1" t="s">
        <v>1354</v>
      </c>
      <c r="AC1550" s="5">
        <v>44308</v>
      </c>
      <c r="AF1550" s="1">
        <v>10027</v>
      </c>
      <c r="AI1550" s="1" t="s">
        <v>96</v>
      </c>
      <c r="AJ1550" s="1">
        <v>2019</v>
      </c>
      <c r="AK1550" s="1" t="s">
        <v>46</v>
      </c>
      <c r="AL1550" s="1">
        <v>183</v>
      </c>
    </row>
    <row r="1551" spans="1:38" x14ac:dyDescent="0.2">
      <c r="A1551" s="2" t="str">
        <f>HYPERLINK("https://www.compass.com/listing/543-west-122nd-street-unit-8e-manhattan-ny-10027/274558841968968433/","543 W 122nd St, Unit 8E")</f>
        <v>543 W 122nd St, Unit 8E</v>
      </c>
      <c r="B1551" s="2" t="str">
        <f t="shared" si="240"/>
        <v>Vandewater</v>
      </c>
      <c r="C1551" s="1" t="s">
        <v>95</v>
      </c>
      <c r="D1551" s="1" t="s">
        <v>41</v>
      </c>
      <c r="E1551" s="3">
        <v>1813500</v>
      </c>
      <c r="F1551" s="1">
        <v>1525.23128679562</v>
      </c>
      <c r="G1551" s="1">
        <v>4</v>
      </c>
      <c r="H1551" s="1">
        <v>2</v>
      </c>
      <c r="I1551" s="1">
        <v>2</v>
      </c>
      <c r="J1551" s="1">
        <v>2</v>
      </c>
      <c r="K1551" s="1">
        <v>2</v>
      </c>
      <c r="M1551" s="4">
        <v>1189</v>
      </c>
      <c r="N1551" s="1">
        <v>1186</v>
      </c>
      <c r="O1551" s="1">
        <v>2605</v>
      </c>
      <c r="P1551" s="1">
        <v>1419</v>
      </c>
      <c r="Q1551" s="1" t="s">
        <v>42</v>
      </c>
      <c r="S1551" s="1" t="s">
        <v>42</v>
      </c>
      <c r="T1551" s="1" t="s">
        <v>153</v>
      </c>
      <c r="V1551" s="5">
        <v>44277</v>
      </c>
      <c r="W1551" s="5">
        <v>44196</v>
      </c>
      <c r="X1551" s="1">
        <v>1825000</v>
      </c>
      <c r="Y1551" s="1">
        <v>1875000</v>
      </c>
      <c r="Z1551" s="5">
        <v>44197</v>
      </c>
      <c r="AA1551" s="1">
        <v>1813500</v>
      </c>
      <c r="AB1551" s="1" t="s">
        <v>1355</v>
      </c>
      <c r="AC1551" s="5">
        <v>44274</v>
      </c>
      <c r="AF1551" s="1">
        <v>10027</v>
      </c>
      <c r="AI1551" s="1" t="s">
        <v>96</v>
      </c>
      <c r="AJ1551" s="1">
        <v>2019</v>
      </c>
      <c r="AK1551" s="1" t="s">
        <v>46</v>
      </c>
      <c r="AL1551" s="1">
        <v>183</v>
      </c>
    </row>
    <row r="1552" spans="1:38" x14ac:dyDescent="0.2">
      <c r="A1552" s="2" t="str">
        <f>HYPERLINK("https://www.compass.com/listing/543-west-122nd-street-unit-20e-manhattan-ny-10027/339698809151586689/","543 W 122nd St, Unit 20E")</f>
        <v>543 W 122nd St, Unit 20E</v>
      </c>
      <c r="B1552" s="2" t="str">
        <f t="shared" si="240"/>
        <v>Vandewater</v>
      </c>
      <c r="C1552" s="1" t="s">
        <v>95</v>
      </c>
      <c r="D1552" s="1" t="s">
        <v>41</v>
      </c>
      <c r="E1552" s="3">
        <v>2264135</v>
      </c>
      <c r="F1552" s="1">
        <v>1756.5049495733099</v>
      </c>
      <c r="G1552" s="1">
        <v>4</v>
      </c>
      <c r="H1552" s="1">
        <v>2</v>
      </c>
      <c r="I1552" s="1">
        <v>2</v>
      </c>
      <c r="J1552" s="1">
        <v>2</v>
      </c>
      <c r="K1552" s="1">
        <v>2</v>
      </c>
      <c r="M1552" s="4">
        <v>1289</v>
      </c>
      <c r="N1552" s="1">
        <v>1282</v>
      </c>
      <c r="O1552" s="1">
        <v>2820</v>
      </c>
      <c r="P1552" s="1">
        <v>1538</v>
      </c>
      <c r="Q1552" s="1" t="s">
        <v>42</v>
      </c>
      <c r="S1552" s="1" t="s">
        <v>42</v>
      </c>
      <c r="T1552" s="1" t="s">
        <v>153</v>
      </c>
      <c r="U1552" s="1">
        <v>140</v>
      </c>
      <c r="V1552" s="5">
        <v>44317</v>
      </c>
      <c r="W1552" s="5">
        <v>44120</v>
      </c>
      <c r="Y1552" s="1">
        <v>2250000</v>
      </c>
      <c r="Z1552" s="5">
        <v>44261</v>
      </c>
      <c r="AA1552" s="1">
        <v>2264134.88</v>
      </c>
      <c r="AB1552" s="1" t="s">
        <v>1356</v>
      </c>
      <c r="AC1552" s="5">
        <v>44314</v>
      </c>
      <c r="AF1552" s="1">
        <v>10027</v>
      </c>
      <c r="AI1552" s="1" t="s">
        <v>96</v>
      </c>
      <c r="AJ1552" s="1">
        <v>2019</v>
      </c>
      <c r="AK1552" s="1" t="s">
        <v>46</v>
      </c>
      <c r="AL1552" s="1">
        <v>183</v>
      </c>
    </row>
    <row r="1553" spans="1:38" x14ac:dyDescent="0.2">
      <c r="A1553" s="2" t="str">
        <f>HYPERLINK("https://www.compass.com/listing/543-west-122nd-street-unit-6c-manhattan-ny-10027/629665023549309465/","543 W 122nd St, Unit 6C")</f>
        <v>543 W 122nd St, Unit 6C</v>
      </c>
      <c r="B1553" s="2" t="str">
        <f t="shared" si="240"/>
        <v>Vandewater</v>
      </c>
      <c r="C1553" s="1" t="s">
        <v>95</v>
      </c>
      <c r="D1553" s="1" t="s">
        <v>41</v>
      </c>
      <c r="E1553" s="3">
        <v>1775000</v>
      </c>
      <c r="F1553" s="1">
        <v>1427.99678197908</v>
      </c>
      <c r="G1553" s="1">
        <v>4</v>
      </c>
      <c r="H1553" s="1">
        <v>2</v>
      </c>
      <c r="I1553" s="1">
        <v>2</v>
      </c>
      <c r="J1553" s="1">
        <v>2</v>
      </c>
      <c r="K1553" s="1">
        <v>2</v>
      </c>
      <c r="M1553" s="4">
        <v>1243</v>
      </c>
      <c r="N1553" s="1">
        <v>1236</v>
      </c>
      <c r="O1553" s="1">
        <v>2719</v>
      </c>
      <c r="P1553" s="1">
        <v>1483</v>
      </c>
      <c r="Q1553" s="1" t="s">
        <v>42</v>
      </c>
      <c r="S1553" s="1" t="s">
        <v>42</v>
      </c>
      <c r="T1553" s="1" t="s">
        <v>153</v>
      </c>
      <c r="V1553" s="5">
        <v>44352</v>
      </c>
      <c r="W1553" s="5">
        <v>44120</v>
      </c>
      <c r="X1553" s="1">
        <v>1800000</v>
      </c>
      <c r="Y1553" s="1">
        <v>1800000</v>
      </c>
      <c r="Z1553" s="5">
        <v>44300</v>
      </c>
      <c r="AA1553" s="1">
        <v>1775000</v>
      </c>
      <c r="AB1553" s="1" t="s">
        <v>1357</v>
      </c>
      <c r="AC1553" s="5">
        <v>44349</v>
      </c>
      <c r="AF1553" s="1">
        <v>10027</v>
      </c>
      <c r="AI1553" s="1" t="s">
        <v>96</v>
      </c>
      <c r="AJ1553" s="1">
        <v>2019</v>
      </c>
      <c r="AK1553" s="1" t="s">
        <v>46</v>
      </c>
      <c r="AL1553" s="1">
        <v>183</v>
      </c>
    </row>
    <row r="1554" spans="1:38" x14ac:dyDescent="0.2">
      <c r="A1554" s="2" t="str">
        <f>HYPERLINK("https://www.compass.com/listing/543-west-122nd-street-unit-9e-manhattan-ny-10027/272979634058968657/","543 W 122nd St, Unit 9E")</f>
        <v>543 W 122nd St, Unit 9E</v>
      </c>
      <c r="B1554" s="2" t="str">
        <f t="shared" si="240"/>
        <v>Vandewater</v>
      </c>
      <c r="C1554" s="1" t="s">
        <v>95</v>
      </c>
      <c r="D1554" s="1" t="s">
        <v>41</v>
      </c>
      <c r="E1554" s="3">
        <v>1868500</v>
      </c>
      <c r="F1554" s="1">
        <v>1571.4886459209399</v>
      </c>
      <c r="G1554" s="1">
        <v>4</v>
      </c>
      <c r="H1554" s="1">
        <v>2</v>
      </c>
      <c r="I1554" s="1">
        <v>2</v>
      </c>
      <c r="J1554" s="1">
        <v>2</v>
      </c>
      <c r="K1554" s="1">
        <v>2</v>
      </c>
      <c r="M1554" s="4">
        <v>1189</v>
      </c>
      <c r="N1554" s="1">
        <v>1186</v>
      </c>
      <c r="O1554" s="1">
        <v>2392</v>
      </c>
      <c r="P1554" s="1">
        <v>1206</v>
      </c>
      <c r="Q1554" s="1" t="s">
        <v>42</v>
      </c>
      <c r="S1554" s="1" t="s">
        <v>42</v>
      </c>
      <c r="T1554" s="1" t="s">
        <v>153</v>
      </c>
      <c r="U1554" s="1">
        <v>143</v>
      </c>
      <c r="V1554" s="5">
        <v>44226</v>
      </c>
      <c r="W1554" s="5">
        <v>43485</v>
      </c>
      <c r="X1554" s="1">
        <v>1850000</v>
      </c>
      <c r="Y1554" s="1">
        <v>1900000</v>
      </c>
      <c r="Z1554" s="5">
        <v>43628</v>
      </c>
      <c r="AA1554" s="1">
        <v>1868500</v>
      </c>
      <c r="AB1554" s="1" t="s">
        <v>1358</v>
      </c>
      <c r="AC1554" s="5">
        <v>44224</v>
      </c>
      <c r="AF1554" s="1">
        <v>10027</v>
      </c>
      <c r="AI1554" s="1" t="s">
        <v>96</v>
      </c>
      <c r="AJ1554" s="1">
        <v>2019</v>
      </c>
      <c r="AK1554" s="1" t="s">
        <v>46</v>
      </c>
      <c r="AL1554" s="1">
        <v>183</v>
      </c>
    </row>
    <row r="1555" spans="1:38" x14ac:dyDescent="0.2">
      <c r="A1555" s="2" t="str">
        <f>HYPERLINK("https://www.compass.com/listing/543-west-122nd-street-unit-17e-manhattan-ny-10027/274558844930099505/","543 W 122nd St, Unit 17E")</f>
        <v>543 W 122nd St, Unit 17E</v>
      </c>
      <c r="B1555" s="2" t="str">
        <f t="shared" si="240"/>
        <v>Vandewater</v>
      </c>
      <c r="C1555" s="1" t="s">
        <v>95</v>
      </c>
      <c r="D1555" s="1" t="s">
        <v>41</v>
      </c>
      <c r="E1555" s="3">
        <v>2700000</v>
      </c>
      <c r="F1555" s="1">
        <v>2094.6470131885098</v>
      </c>
      <c r="G1555" s="1">
        <v>4</v>
      </c>
      <c r="H1555" s="1">
        <v>2</v>
      </c>
      <c r="I1555" s="1">
        <v>2</v>
      </c>
      <c r="J1555" s="1">
        <v>2</v>
      </c>
      <c r="K1555" s="1">
        <v>2</v>
      </c>
      <c r="M1555" s="4">
        <v>1289</v>
      </c>
      <c r="N1555" s="1">
        <v>1376</v>
      </c>
      <c r="O1555" s="1">
        <v>3027</v>
      </c>
      <c r="P1555" s="1">
        <v>1651</v>
      </c>
      <c r="Q1555" s="1" t="s">
        <v>42</v>
      </c>
      <c r="S1555" s="1" t="s">
        <v>42</v>
      </c>
      <c r="T1555" s="1" t="s">
        <v>153</v>
      </c>
      <c r="U1555" s="1">
        <v>67</v>
      </c>
      <c r="V1555" s="5">
        <v>44314</v>
      </c>
      <c r="W1555" s="5">
        <v>43608</v>
      </c>
      <c r="X1555" s="1">
        <v>2875000</v>
      </c>
      <c r="Y1555" s="1">
        <v>2875000</v>
      </c>
      <c r="Z1555" s="5">
        <v>43985</v>
      </c>
      <c r="AA1555" s="1">
        <v>2700000</v>
      </c>
      <c r="AB1555" s="1" t="s">
        <v>1359</v>
      </c>
      <c r="AC1555" s="5">
        <v>44308</v>
      </c>
      <c r="AF1555" s="1">
        <v>10027</v>
      </c>
      <c r="AI1555" s="1" t="s">
        <v>120</v>
      </c>
      <c r="AJ1555" s="1">
        <v>2019</v>
      </c>
      <c r="AK1555" s="1" t="s">
        <v>46</v>
      </c>
      <c r="AL1555" s="1">
        <v>183</v>
      </c>
    </row>
    <row r="1556" spans="1:38" x14ac:dyDescent="0.2">
      <c r="A1556" s="2" t="str">
        <f>HYPERLINK("https://www.compass.com/listing/543-west-122nd-street-unit-10e-manhattan-ny-10027/287430085701617313/","543 W 122nd St, Unit 10E")</f>
        <v>543 W 122nd St, Unit 10E</v>
      </c>
      <c r="B1556" s="2" t="str">
        <f t="shared" si="240"/>
        <v>Vandewater</v>
      </c>
      <c r="C1556" s="1" t="s">
        <v>95</v>
      </c>
      <c r="D1556" s="1" t="s">
        <v>41</v>
      </c>
      <c r="E1556" s="3">
        <v>1875000</v>
      </c>
      <c r="F1556" s="1">
        <v>1576.9554247266601</v>
      </c>
      <c r="G1556" s="1">
        <v>4</v>
      </c>
      <c r="H1556" s="1">
        <v>2</v>
      </c>
      <c r="I1556" s="1">
        <v>2</v>
      </c>
      <c r="J1556" s="1">
        <v>2</v>
      </c>
      <c r="K1556" s="1">
        <v>2</v>
      </c>
      <c r="M1556" s="4">
        <v>1189</v>
      </c>
      <c r="N1556" s="1">
        <v>1186</v>
      </c>
      <c r="O1556" s="1">
        <v>2392</v>
      </c>
      <c r="P1556" s="1">
        <v>1206</v>
      </c>
      <c r="Q1556" s="1" t="s">
        <v>42</v>
      </c>
      <c r="S1556" s="1" t="s">
        <v>42</v>
      </c>
      <c r="T1556" s="1" t="s">
        <v>153</v>
      </c>
      <c r="U1556" s="1">
        <v>163</v>
      </c>
      <c r="V1556" s="5">
        <v>44204</v>
      </c>
      <c r="W1556" s="5">
        <v>43485</v>
      </c>
      <c r="X1556" s="1">
        <v>1875000</v>
      </c>
      <c r="Y1556" s="1">
        <v>1925000</v>
      </c>
      <c r="Z1556" s="5">
        <v>43648</v>
      </c>
      <c r="AA1556" s="1">
        <v>1875000</v>
      </c>
      <c r="AB1556" s="1" t="s">
        <v>1360</v>
      </c>
      <c r="AC1556" s="5">
        <v>44202</v>
      </c>
      <c r="AF1556" s="1">
        <v>10027</v>
      </c>
      <c r="AI1556" s="1" t="s">
        <v>96</v>
      </c>
      <c r="AJ1556" s="1">
        <v>2019</v>
      </c>
      <c r="AK1556" s="1" t="s">
        <v>46</v>
      </c>
      <c r="AL1556" s="1">
        <v>183</v>
      </c>
    </row>
    <row r="1557" spans="1:38" x14ac:dyDescent="0.2">
      <c r="A1557" s="2" t="str">
        <f>HYPERLINK("https://www.compass.com/listing/543-west-122nd-street-unit-23c-manhattan-ny-10027/287442365105396593/","543 W 122nd St, Unit 23C")</f>
        <v>543 W 122nd St, Unit 23C</v>
      </c>
      <c r="B1557" s="2" t="str">
        <f t="shared" si="240"/>
        <v>Vandewater</v>
      </c>
      <c r="C1557" s="1" t="s">
        <v>95</v>
      </c>
      <c r="D1557" s="1" t="s">
        <v>41</v>
      </c>
      <c r="E1557" s="3">
        <v>2130000</v>
      </c>
      <c r="F1557" s="1">
        <v>1713.59613837489</v>
      </c>
      <c r="G1557" s="1">
        <v>4</v>
      </c>
      <c r="H1557" s="1">
        <v>2</v>
      </c>
      <c r="I1557" s="1">
        <v>2</v>
      </c>
      <c r="J1557" s="1">
        <v>2</v>
      </c>
      <c r="K1557" s="1">
        <v>2</v>
      </c>
      <c r="M1557" s="4">
        <v>1243</v>
      </c>
      <c r="N1557" s="1">
        <v>1239</v>
      </c>
      <c r="O1557" s="1">
        <v>2726</v>
      </c>
      <c r="P1557" s="1">
        <v>1487</v>
      </c>
      <c r="Q1557" s="1" t="s">
        <v>42</v>
      </c>
      <c r="S1557" s="1" t="s">
        <v>42</v>
      </c>
      <c r="T1557" s="1" t="s">
        <v>153</v>
      </c>
      <c r="U1557" s="1">
        <v>162</v>
      </c>
      <c r="V1557" s="5">
        <v>44328</v>
      </c>
      <c r="W1557" s="5">
        <v>43486</v>
      </c>
      <c r="X1557" s="1">
        <v>2130000</v>
      </c>
      <c r="Y1557" s="1">
        <v>2130000</v>
      </c>
      <c r="Z1557" s="5">
        <v>43648</v>
      </c>
      <c r="AA1557" s="1">
        <v>2130000</v>
      </c>
      <c r="AB1557" s="1" t="s">
        <v>1361</v>
      </c>
      <c r="AC1557" s="5">
        <v>44327</v>
      </c>
      <c r="AF1557" s="1">
        <v>10027</v>
      </c>
      <c r="AI1557" s="1" t="s">
        <v>96</v>
      </c>
      <c r="AJ1557" s="1">
        <v>2019</v>
      </c>
      <c r="AK1557" s="1" t="s">
        <v>46</v>
      </c>
      <c r="AL1557" s="1">
        <v>183</v>
      </c>
    </row>
    <row r="1558" spans="1:38" x14ac:dyDescent="0.2">
      <c r="A1558" s="2" t="str">
        <f>HYPERLINK("https://www.compass.com/listing/543-west-122nd-street-unit-15a-manhattan-ny-10027/370294546555235585/","543 W 122nd St, Unit 15A")</f>
        <v>543 W 122nd St, Unit 15A</v>
      </c>
      <c r="B1558" s="2" t="str">
        <f t="shared" si="240"/>
        <v>Vandewater</v>
      </c>
      <c r="C1558" s="1" t="s">
        <v>95</v>
      </c>
      <c r="D1558" s="1" t="s">
        <v>41</v>
      </c>
      <c r="E1558" s="3">
        <v>2350000</v>
      </c>
      <c r="F1558" s="1">
        <v>1618.4573002754801</v>
      </c>
      <c r="G1558" s="1">
        <v>4</v>
      </c>
      <c r="H1558" s="1">
        <v>2</v>
      </c>
      <c r="I1558" s="1">
        <v>3</v>
      </c>
      <c r="J1558" s="1">
        <v>2</v>
      </c>
      <c r="K1558" s="1">
        <v>2</v>
      </c>
      <c r="M1558" s="4">
        <v>1452</v>
      </c>
      <c r="N1558" s="1">
        <v>1444</v>
      </c>
      <c r="O1558" s="1">
        <v>3177</v>
      </c>
      <c r="P1558" s="1">
        <v>1733</v>
      </c>
      <c r="Q1558" s="1" t="s">
        <v>42</v>
      </c>
      <c r="S1558" s="1" t="s">
        <v>42</v>
      </c>
      <c r="T1558" s="1" t="s">
        <v>153</v>
      </c>
      <c r="U1558" s="1">
        <v>290</v>
      </c>
      <c r="V1558" s="5">
        <v>44373</v>
      </c>
      <c r="W1558" s="5">
        <v>43472</v>
      </c>
      <c r="X1558" s="1">
        <v>2350000</v>
      </c>
      <c r="Y1558" s="1">
        <v>2350000</v>
      </c>
      <c r="Z1558" s="5">
        <v>43763</v>
      </c>
      <c r="AA1558" s="1">
        <v>2350000</v>
      </c>
      <c r="AB1558" s="1" t="s">
        <v>1362</v>
      </c>
      <c r="AC1558" s="5">
        <v>44364</v>
      </c>
      <c r="AF1558" s="1">
        <v>10027</v>
      </c>
      <c r="AI1558" s="1" t="s">
        <v>96</v>
      </c>
      <c r="AJ1558" s="1">
        <v>2019</v>
      </c>
      <c r="AK1558" s="1" t="s">
        <v>46</v>
      </c>
      <c r="AL1558" s="1">
        <v>183</v>
      </c>
    </row>
    <row r="1559" spans="1:38" x14ac:dyDescent="0.2">
      <c r="A1559" s="2" t="str">
        <f>HYPERLINK("https://www.compass.com/listing/543-west-122nd-street-unit-15e-manhattan-ny-10027/455600581965711121/","543 W 122nd St, Unit 15E")</f>
        <v>543 W 122nd St, Unit 15E</v>
      </c>
      <c r="B1559" s="2" t="str">
        <f t="shared" si="240"/>
        <v>Vandewater</v>
      </c>
      <c r="C1559" s="1" t="s">
        <v>95</v>
      </c>
      <c r="D1559" s="1" t="s">
        <v>41</v>
      </c>
      <c r="E1559" s="3">
        <v>2065520</v>
      </c>
      <c r="F1559" s="1">
        <v>1737.19102607232</v>
      </c>
      <c r="G1559" s="1">
        <v>4</v>
      </c>
      <c r="H1559" s="1">
        <v>2</v>
      </c>
      <c r="I1559" s="1">
        <v>2</v>
      </c>
      <c r="J1559" s="1">
        <v>2</v>
      </c>
      <c r="K1559" s="1">
        <v>2</v>
      </c>
      <c r="M1559" s="4">
        <v>1189</v>
      </c>
      <c r="N1559" s="1">
        <v>1182</v>
      </c>
      <c r="O1559" s="1">
        <v>2387</v>
      </c>
      <c r="P1559" s="1">
        <v>1205</v>
      </c>
      <c r="Q1559" s="1" t="s">
        <v>42</v>
      </c>
      <c r="S1559" s="1" t="s">
        <v>42</v>
      </c>
      <c r="T1559" s="1" t="s">
        <v>153</v>
      </c>
      <c r="U1559" s="1">
        <v>395</v>
      </c>
      <c r="V1559" s="5">
        <v>44226</v>
      </c>
      <c r="W1559" s="5">
        <v>43485</v>
      </c>
      <c r="X1559" s="1">
        <v>2025000</v>
      </c>
      <c r="Y1559" s="1">
        <v>2025000</v>
      </c>
      <c r="Z1559" s="5">
        <v>43880</v>
      </c>
      <c r="AA1559" s="1">
        <v>2065520.13</v>
      </c>
      <c r="AB1559" s="1" t="s">
        <v>1363</v>
      </c>
      <c r="AC1559" s="5">
        <v>44211</v>
      </c>
      <c r="AF1559" s="1">
        <v>10027</v>
      </c>
      <c r="AI1559" s="1" t="s">
        <v>96</v>
      </c>
      <c r="AJ1559" s="1">
        <v>2019</v>
      </c>
      <c r="AK1559" s="1" t="s">
        <v>46</v>
      </c>
      <c r="AL1559" s="1">
        <v>183</v>
      </c>
    </row>
    <row r="1560" spans="1:38" x14ac:dyDescent="0.2">
      <c r="A1560" s="2" t="str">
        <f>HYPERLINK("https://www.compass.com/listing/543-west-122nd-street-unit-22e-manhattan-ny-10027/527872004165225865/","543 W 122nd St, Unit 22E")</f>
        <v>543 W 122nd St, Unit 22E</v>
      </c>
      <c r="B1560" s="2" t="str">
        <f t="shared" si="240"/>
        <v>Vandewater</v>
      </c>
      <c r="C1560" s="1" t="s">
        <v>95</v>
      </c>
      <c r="D1560" s="1" t="s">
        <v>41</v>
      </c>
      <c r="E1560" s="3">
        <v>2390000</v>
      </c>
      <c r="F1560" s="1">
        <v>1854.15050426687</v>
      </c>
      <c r="G1560" s="1">
        <v>4</v>
      </c>
      <c r="H1560" s="1">
        <v>2</v>
      </c>
      <c r="I1560" s="1">
        <v>2</v>
      </c>
      <c r="J1560" s="1">
        <v>2</v>
      </c>
      <c r="K1560" s="1">
        <v>2</v>
      </c>
      <c r="M1560" s="4">
        <v>1289</v>
      </c>
      <c r="N1560" s="1">
        <v>1282</v>
      </c>
      <c r="O1560" s="1">
        <v>2820</v>
      </c>
      <c r="P1560" s="1">
        <v>1538</v>
      </c>
      <c r="Q1560" s="1" t="s">
        <v>42</v>
      </c>
      <c r="S1560" s="1" t="s">
        <v>42</v>
      </c>
      <c r="T1560" s="1" t="s">
        <v>153</v>
      </c>
      <c r="V1560" s="5">
        <v>44328</v>
      </c>
      <c r="W1560" s="5">
        <v>43979</v>
      </c>
      <c r="X1560" s="1">
        <v>2300000</v>
      </c>
      <c r="Y1560" s="1">
        <v>2300000</v>
      </c>
      <c r="Z1560" s="5">
        <v>44271</v>
      </c>
      <c r="AA1560" s="1">
        <v>2390000</v>
      </c>
      <c r="AB1560" s="1" t="s">
        <v>1364</v>
      </c>
      <c r="AC1560" s="5">
        <v>44321</v>
      </c>
      <c r="AF1560" s="1">
        <v>10027</v>
      </c>
      <c r="AI1560" s="1" t="s">
        <v>96</v>
      </c>
      <c r="AJ1560" s="1">
        <v>2019</v>
      </c>
      <c r="AK1560" s="1" t="s">
        <v>46</v>
      </c>
      <c r="AL1560" s="1">
        <v>183</v>
      </c>
    </row>
    <row r="1561" spans="1:38" x14ac:dyDescent="0.2">
      <c r="A1561" s="2" t="str">
        <f>HYPERLINK("https://www.compass.com/listing/543-west-122nd-street-unit-27c-manhattan-ny-10027/547000849732554953/","543 W 122nd St, Unit 27C")</f>
        <v>543 W 122nd St, Unit 27C</v>
      </c>
      <c r="B1561" s="2" t="str">
        <f t="shared" si="240"/>
        <v>Vandewater</v>
      </c>
      <c r="C1561" s="1" t="s">
        <v>95</v>
      </c>
      <c r="D1561" s="1" t="s">
        <v>41</v>
      </c>
      <c r="E1561" s="3">
        <v>2470000</v>
      </c>
      <c r="F1561" s="1">
        <v>1881.18811881188</v>
      </c>
      <c r="G1561" s="1">
        <v>4</v>
      </c>
      <c r="H1561" s="1">
        <v>2</v>
      </c>
      <c r="I1561" s="1">
        <v>2</v>
      </c>
      <c r="J1561" s="1">
        <v>2</v>
      </c>
      <c r="K1561" s="1">
        <v>2</v>
      </c>
      <c r="M1561" s="4">
        <v>1313</v>
      </c>
      <c r="N1561" s="1">
        <v>1306</v>
      </c>
      <c r="O1561" s="1">
        <v>2870</v>
      </c>
      <c r="P1561" s="1">
        <v>1564</v>
      </c>
      <c r="Q1561" s="1" t="s">
        <v>42</v>
      </c>
      <c r="S1561" s="1" t="s">
        <v>42</v>
      </c>
      <c r="T1561" s="1" t="s">
        <v>153</v>
      </c>
      <c r="U1561" s="1">
        <v>1</v>
      </c>
      <c r="V1561" s="5">
        <v>44350</v>
      </c>
      <c r="W1561" s="5">
        <v>44005</v>
      </c>
      <c r="X1561" s="1">
        <v>2540000</v>
      </c>
      <c r="Y1561" s="1">
        <v>2540000</v>
      </c>
      <c r="Z1561" s="5">
        <v>44007</v>
      </c>
      <c r="AA1561" s="1">
        <v>2470000</v>
      </c>
      <c r="AB1561" s="1" t="s">
        <v>1365</v>
      </c>
      <c r="AC1561" s="5">
        <v>44348</v>
      </c>
      <c r="AF1561" s="1">
        <v>10027</v>
      </c>
      <c r="AI1561" s="1" t="s">
        <v>96</v>
      </c>
      <c r="AJ1561" s="1">
        <v>2019</v>
      </c>
      <c r="AK1561" s="1" t="s">
        <v>46</v>
      </c>
      <c r="AL1561" s="1">
        <v>183</v>
      </c>
    </row>
    <row r="1562" spans="1:38" x14ac:dyDescent="0.2">
      <c r="A1562" s="2" t="str">
        <f>HYPERLINK("https://www.compass.com/listing/543-west-122nd-street-unit-25c-manhattan-ny-10027/632670169812513625/","543 W 122nd St, Unit 25C")</f>
        <v>543 W 122nd St, Unit 25C</v>
      </c>
      <c r="B1562" s="2" t="str">
        <f t="shared" si="240"/>
        <v>Vandewater</v>
      </c>
      <c r="C1562" s="1" t="s">
        <v>95</v>
      </c>
      <c r="D1562" s="1" t="s">
        <v>41</v>
      </c>
      <c r="E1562" s="3">
        <v>2090000</v>
      </c>
      <c r="F1562" s="1">
        <v>1677.36757624398</v>
      </c>
      <c r="G1562" s="1">
        <v>4</v>
      </c>
      <c r="H1562" s="1">
        <v>2</v>
      </c>
      <c r="I1562" s="1">
        <v>2</v>
      </c>
      <c r="J1562" s="1">
        <v>2</v>
      </c>
      <c r="K1562" s="1">
        <v>2</v>
      </c>
      <c r="M1562" s="4">
        <v>1246</v>
      </c>
      <c r="N1562" s="1">
        <v>1239</v>
      </c>
      <c r="O1562" s="1">
        <v>2726</v>
      </c>
      <c r="P1562" s="1">
        <v>1487</v>
      </c>
      <c r="Q1562" s="1" t="s">
        <v>42</v>
      </c>
      <c r="S1562" s="1" t="s">
        <v>42</v>
      </c>
      <c r="T1562" s="1" t="s">
        <v>153</v>
      </c>
      <c r="U1562" s="1">
        <v>544</v>
      </c>
      <c r="V1562" s="5">
        <v>44378</v>
      </c>
      <c r="W1562" s="5">
        <v>43486</v>
      </c>
      <c r="X1562" s="1">
        <v>2190000</v>
      </c>
      <c r="Y1562" s="1">
        <v>2190000</v>
      </c>
      <c r="Z1562" s="5">
        <v>44125</v>
      </c>
      <c r="AA1562" s="1">
        <v>2090000</v>
      </c>
      <c r="AB1562" s="1" t="s">
        <v>1366</v>
      </c>
      <c r="AC1562" s="5">
        <v>44369</v>
      </c>
      <c r="AF1562" s="1">
        <v>10027</v>
      </c>
      <c r="AI1562" s="1" t="s">
        <v>96</v>
      </c>
      <c r="AJ1562" s="1">
        <v>2019</v>
      </c>
      <c r="AK1562" s="1" t="s">
        <v>46</v>
      </c>
      <c r="AL1562" s="1">
        <v>183</v>
      </c>
    </row>
    <row r="1563" spans="1:38" x14ac:dyDescent="0.2">
      <c r="A1563" s="2" t="str">
        <f>HYPERLINK("https://www.compass.com/listing/543-west-122nd-street-unit-14e-manhattan-ny-10027/632670909551090737/","543 W 122nd St, Unit 14E")</f>
        <v>543 W 122nd St, Unit 14E</v>
      </c>
      <c r="B1563" s="2" t="str">
        <f t="shared" si="240"/>
        <v>Vandewater</v>
      </c>
      <c r="C1563" s="1" t="s">
        <v>95</v>
      </c>
      <c r="D1563" s="1" t="s">
        <v>41</v>
      </c>
      <c r="E1563" s="3">
        <v>2018500</v>
      </c>
      <c r="F1563" s="1">
        <v>1697.64507989907</v>
      </c>
      <c r="G1563" s="1">
        <v>4</v>
      </c>
      <c r="H1563" s="1">
        <v>2</v>
      </c>
      <c r="I1563" s="1">
        <v>2</v>
      </c>
      <c r="J1563" s="1">
        <v>2</v>
      </c>
      <c r="K1563" s="1">
        <v>2</v>
      </c>
      <c r="M1563" s="4">
        <v>1189</v>
      </c>
      <c r="N1563" s="1">
        <v>1182</v>
      </c>
      <c r="O1563" s="1">
        <v>2601</v>
      </c>
      <c r="P1563" s="1">
        <v>1419</v>
      </c>
      <c r="Q1563" s="1" t="s">
        <v>42</v>
      </c>
      <c r="S1563" s="1" t="s">
        <v>42</v>
      </c>
      <c r="T1563" s="1" t="s">
        <v>153</v>
      </c>
      <c r="U1563" s="1">
        <v>545</v>
      </c>
      <c r="V1563" s="5">
        <v>44278</v>
      </c>
      <c r="W1563" s="5">
        <v>43485</v>
      </c>
      <c r="X1563" s="1">
        <v>2000000</v>
      </c>
      <c r="Y1563" s="1">
        <v>2000000</v>
      </c>
      <c r="Z1563" s="5">
        <v>44125</v>
      </c>
      <c r="AA1563" s="1">
        <v>2018500</v>
      </c>
      <c r="AB1563" s="1" t="s">
        <v>1367</v>
      </c>
      <c r="AC1563" s="5">
        <v>44271</v>
      </c>
      <c r="AF1563" s="1">
        <v>10027</v>
      </c>
      <c r="AI1563" s="1" t="s">
        <v>96</v>
      </c>
      <c r="AJ1563" s="1">
        <v>2019</v>
      </c>
      <c r="AK1563" s="1" t="s">
        <v>46</v>
      </c>
      <c r="AL1563" s="1">
        <v>183</v>
      </c>
    </row>
    <row r="1564" spans="1:38" x14ac:dyDescent="0.2">
      <c r="A1564" s="2" t="str">
        <f>HYPERLINK("https://www.compass.com/listing/543-west-122nd-street-unit-17c-manhattan-ny-10027/707953821048283793/","543 W 122nd St, Unit 17C")</f>
        <v>543 W 122nd St, Unit 17C</v>
      </c>
      <c r="B1564" s="2" t="str">
        <f t="shared" si="240"/>
        <v>Vandewater</v>
      </c>
      <c r="C1564" s="1" t="s">
        <v>95</v>
      </c>
      <c r="D1564" s="1" t="s">
        <v>41</v>
      </c>
      <c r="E1564" s="3">
        <v>2046683</v>
      </c>
      <c r="F1564" s="1">
        <v>1623.0630452022201</v>
      </c>
      <c r="G1564" s="1">
        <v>4</v>
      </c>
      <c r="H1564" s="1">
        <v>2</v>
      </c>
      <c r="I1564" s="1">
        <v>2</v>
      </c>
      <c r="J1564" s="1">
        <v>2</v>
      </c>
      <c r="K1564" s="1">
        <v>2</v>
      </c>
      <c r="M1564" s="4">
        <v>1261</v>
      </c>
      <c r="N1564" s="1">
        <v>1239</v>
      </c>
      <c r="O1564" s="1">
        <v>2726</v>
      </c>
      <c r="P1564" s="1">
        <v>1487</v>
      </c>
      <c r="Q1564" s="1" t="s">
        <v>42</v>
      </c>
      <c r="S1564" s="1" t="s">
        <v>42</v>
      </c>
      <c r="T1564" s="1" t="s">
        <v>153</v>
      </c>
      <c r="U1564" s="1">
        <v>648</v>
      </c>
      <c r="V1564" s="5">
        <v>44300</v>
      </c>
      <c r="W1564" s="5">
        <v>43486</v>
      </c>
      <c r="X1564" s="1">
        <v>2010000</v>
      </c>
      <c r="Y1564" s="1">
        <v>2010000</v>
      </c>
      <c r="Z1564" s="5">
        <v>44229</v>
      </c>
      <c r="AA1564" s="1">
        <v>2046682.5</v>
      </c>
      <c r="AB1564" s="1" t="s">
        <v>1368</v>
      </c>
      <c r="AC1564" s="5">
        <v>44293</v>
      </c>
      <c r="AF1564" s="1">
        <v>10027</v>
      </c>
      <c r="AI1564" s="1" t="s">
        <v>96</v>
      </c>
      <c r="AJ1564" s="1">
        <v>2019</v>
      </c>
      <c r="AK1564" s="1" t="s">
        <v>46</v>
      </c>
      <c r="AL1564" s="1">
        <v>183</v>
      </c>
    </row>
    <row r="1565" spans="1:38" x14ac:dyDescent="0.2">
      <c r="A1565" s="2" t="str">
        <f>HYPERLINK("https://www.compass.com/listing/543-west-122nd-street-unit-24c-manhattan-ny-10027/779647857819951993/","543 W 122nd St, Unit 24C")</f>
        <v>543 W 122nd St, Unit 24C</v>
      </c>
      <c r="B1565" s="2" t="str">
        <f t="shared" si="240"/>
        <v>Vandewater</v>
      </c>
      <c r="C1565" s="1" t="s">
        <v>95</v>
      </c>
      <c r="D1565" s="1" t="s">
        <v>41</v>
      </c>
      <c r="E1565" s="3">
        <v>2153500</v>
      </c>
      <c r="F1565" s="1">
        <v>1728.3306581059301</v>
      </c>
      <c r="G1565" s="1">
        <v>4</v>
      </c>
      <c r="H1565" s="1">
        <v>2</v>
      </c>
      <c r="I1565" s="1">
        <v>2</v>
      </c>
      <c r="J1565" s="1">
        <v>2</v>
      </c>
      <c r="K1565" s="1">
        <v>2</v>
      </c>
      <c r="M1565" s="4">
        <v>1246</v>
      </c>
      <c r="N1565" s="1">
        <v>1239</v>
      </c>
      <c r="O1565" s="1">
        <v>2726</v>
      </c>
      <c r="P1565" s="1">
        <v>1487</v>
      </c>
      <c r="Q1565" s="1" t="s">
        <v>42</v>
      </c>
      <c r="S1565" s="1" t="s">
        <v>42</v>
      </c>
      <c r="T1565" s="1" t="s">
        <v>153</v>
      </c>
      <c r="U1565" s="1">
        <v>747</v>
      </c>
      <c r="V1565" s="5">
        <v>44369</v>
      </c>
      <c r="W1565" s="5">
        <v>43486</v>
      </c>
      <c r="X1565" s="1">
        <v>2150000</v>
      </c>
      <c r="Y1565" s="1">
        <v>2150000</v>
      </c>
      <c r="Z1565" s="5">
        <v>44328</v>
      </c>
      <c r="AA1565" s="1">
        <v>2153500</v>
      </c>
      <c r="AB1565" s="1" t="s">
        <v>1369</v>
      </c>
      <c r="AC1565" s="5">
        <v>44361</v>
      </c>
      <c r="AF1565" s="1">
        <v>10027</v>
      </c>
      <c r="AI1565" s="1" t="s">
        <v>96</v>
      </c>
      <c r="AJ1565" s="1">
        <v>2019</v>
      </c>
      <c r="AK1565" s="1" t="s">
        <v>46</v>
      </c>
      <c r="AL1565" s="1">
        <v>183</v>
      </c>
    </row>
    <row r="1566" spans="1:38" x14ac:dyDescent="0.2">
      <c r="A1566" s="2" t="str">
        <f>HYPERLINK("https://www.compass.com/listing/505-west-173rd-street-unit-1-manhattan-ny-10032/600151113590771961/","505 W 173rd St, Unit 1")</f>
        <v>505 W 173rd St, Unit 1</v>
      </c>
      <c r="B1566" s="1" t="s">
        <v>1255</v>
      </c>
      <c r="C1566" s="1" t="s">
        <v>1184</v>
      </c>
      <c r="D1566" s="1" t="s">
        <v>41</v>
      </c>
      <c r="E1566" s="3">
        <v>570000</v>
      </c>
      <c r="F1566" s="1">
        <v>653.66972477064201</v>
      </c>
      <c r="G1566" s="1">
        <v>4</v>
      </c>
      <c r="H1566" s="1">
        <v>2</v>
      </c>
      <c r="I1566" s="1">
        <v>1</v>
      </c>
      <c r="J1566" s="1">
        <v>1</v>
      </c>
      <c r="K1566" s="1">
        <v>1</v>
      </c>
      <c r="M1566" s="1">
        <v>872</v>
      </c>
      <c r="O1566" s="1">
        <v>17</v>
      </c>
      <c r="P1566" s="1">
        <v>17</v>
      </c>
      <c r="Q1566" s="1" t="s">
        <v>109</v>
      </c>
      <c r="S1566" s="1" t="s">
        <v>109</v>
      </c>
      <c r="T1566" s="1" t="s">
        <v>153</v>
      </c>
      <c r="U1566" s="1">
        <v>100</v>
      </c>
      <c r="V1566" s="5">
        <v>44323</v>
      </c>
      <c r="W1566" s="5">
        <v>44072</v>
      </c>
      <c r="X1566" s="1">
        <v>600000</v>
      </c>
      <c r="Y1566" s="1">
        <v>575000</v>
      </c>
      <c r="Z1566" s="5">
        <v>44173</v>
      </c>
      <c r="AA1566" s="1">
        <v>570000</v>
      </c>
      <c r="AB1566" s="1" t="s">
        <v>1370</v>
      </c>
      <c r="AC1566" s="5">
        <v>44246</v>
      </c>
      <c r="AF1566" s="1">
        <v>10032</v>
      </c>
      <c r="AI1566" s="1" t="s">
        <v>147</v>
      </c>
      <c r="AL1566" s="1">
        <v>4</v>
      </c>
    </row>
    <row r="1567" spans="1:38" x14ac:dyDescent="0.2">
      <c r="A1567" s="2" t="str">
        <f>HYPERLINK("https://www.compass.com/listing/543-west-122nd-street-unit-9g-manhattan-ny-10027/253529751480720353/","543 W 122nd St, Unit 9G")</f>
        <v>543 W 122nd St, Unit 9G</v>
      </c>
      <c r="B1567" s="2" t="str">
        <f t="shared" ref="B1567:B1574" si="241">HYPERLINK("https://www.compass.com/building/vandewater-manhattan-ny/282058681657361477/","Vandewater")</f>
        <v>Vandewater</v>
      </c>
      <c r="C1567" s="1" t="s">
        <v>95</v>
      </c>
      <c r="D1567" s="1" t="s">
        <v>41</v>
      </c>
      <c r="E1567" s="3">
        <v>1200008</v>
      </c>
      <c r="F1567" s="1">
        <v>1498.13686641697</v>
      </c>
      <c r="G1567" s="1">
        <v>3</v>
      </c>
      <c r="H1567" s="1">
        <v>1</v>
      </c>
      <c r="I1567" s="1">
        <v>1</v>
      </c>
      <c r="J1567" s="1">
        <v>1</v>
      </c>
      <c r="K1567" s="1">
        <v>1</v>
      </c>
      <c r="M1567" s="1">
        <v>801</v>
      </c>
      <c r="N1567" s="1">
        <v>799</v>
      </c>
      <c r="O1567" s="1">
        <v>1755</v>
      </c>
      <c r="P1567" s="1">
        <v>956</v>
      </c>
      <c r="Q1567" s="1" t="s">
        <v>42</v>
      </c>
      <c r="S1567" s="1" t="s">
        <v>42</v>
      </c>
      <c r="T1567" s="1" t="s">
        <v>153</v>
      </c>
      <c r="U1567" s="1">
        <v>116</v>
      </c>
      <c r="V1567" s="5">
        <v>44300</v>
      </c>
      <c r="W1567" s="5">
        <v>43485</v>
      </c>
      <c r="X1567" s="1">
        <v>1290000</v>
      </c>
      <c r="Y1567" s="1">
        <v>1290000</v>
      </c>
      <c r="Z1567" s="5">
        <v>43602</v>
      </c>
      <c r="AA1567" s="1">
        <v>1200007.6299999999</v>
      </c>
      <c r="AB1567" s="1" t="s">
        <v>1371</v>
      </c>
      <c r="AC1567" s="5">
        <v>44291</v>
      </c>
      <c r="AF1567" s="1">
        <v>10027</v>
      </c>
      <c r="AI1567" s="1" t="s">
        <v>96</v>
      </c>
      <c r="AJ1567" s="1">
        <v>2019</v>
      </c>
      <c r="AK1567" s="1" t="s">
        <v>46</v>
      </c>
      <c r="AL1567" s="1">
        <v>183</v>
      </c>
    </row>
    <row r="1568" spans="1:38" x14ac:dyDescent="0.2">
      <c r="A1568" s="2" t="str">
        <f>HYPERLINK("https://www.compass.com/listing/543-west-122nd-street-unit-19f-manhattan-ny-10027/268077945296299281/","543 W 122nd St, Unit 19F")</f>
        <v>543 W 122nd St, Unit 19F</v>
      </c>
      <c r="B1568" s="2" t="str">
        <f t="shared" si="241"/>
        <v>Vandewater</v>
      </c>
      <c r="C1568" s="1" t="s">
        <v>95</v>
      </c>
      <c r="D1568" s="1" t="s">
        <v>41</v>
      </c>
      <c r="E1568" s="3">
        <v>1306924</v>
      </c>
      <c r="F1568" s="1">
        <v>1782.9793724420099</v>
      </c>
      <c r="G1568" s="1">
        <v>3</v>
      </c>
      <c r="H1568" s="1">
        <v>1</v>
      </c>
      <c r="I1568" s="1">
        <v>1</v>
      </c>
      <c r="J1568" s="1">
        <v>1</v>
      </c>
      <c r="K1568" s="1">
        <v>1</v>
      </c>
      <c r="M1568" s="1">
        <v>733</v>
      </c>
      <c r="N1568" s="1">
        <v>731</v>
      </c>
      <c r="O1568" s="1">
        <v>1606</v>
      </c>
      <c r="P1568" s="1">
        <v>875</v>
      </c>
      <c r="Q1568" s="1" t="s">
        <v>42</v>
      </c>
      <c r="S1568" s="1" t="s">
        <v>42</v>
      </c>
      <c r="T1568" s="1" t="s">
        <v>153</v>
      </c>
      <c r="U1568" s="1">
        <v>136</v>
      </c>
      <c r="V1568" s="5">
        <v>44300</v>
      </c>
      <c r="W1568" s="5">
        <v>43485</v>
      </c>
      <c r="X1568" s="1">
        <v>1280000</v>
      </c>
      <c r="Y1568" s="1">
        <v>1280000</v>
      </c>
      <c r="Z1568" s="5">
        <v>43622</v>
      </c>
      <c r="AA1568" s="1">
        <v>1306923.8799999999</v>
      </c>
      <c r="AB1568" s="1" t="s">
        <v>1372</v>
      </c>
      <c r="AC1568" s="5">
        <v>44294</v>
      </c>
      <c r="AF1568" s="1">
        <v>10027</v>
      </c>
      <c r="AI1568" s="1" t="s">
        <v>96</v>
      </c>
      <c r="AJ1568" s="1">
        <v>2019</v>
      </c>
      <c r="AK1568" s="1" t="s">
        <v>46</v>
      </c>
      <c r="AL1568" s="1">
        <v>183</v>
      </c>
    </row>
    <row r="1569" spans="1:38" x14ac:dyDescent="0.2">
      <c r="A1569" s="2" t="str">
        <f>HYPERLINK("https://www.compass.com/listing/543-west-122nd-street-unit-23f-manhattan-ny-10027/339755287174458145/","543 W 122nd St, Unit 23F")</f>
        <v>543 W 122nd St, Unit 23F</v>
      </c>
      <c r="B1569" s="2" t="str">
        <f t="shared" si="241"/>
        <v>Vandewater</v>
      </c>
      <c r="C1569" s="1" t="s">
        <v>95</v>
      </c>
      <c r="D1569" s="1" t="s">
        <v>41</v>
      </c>
      <c r="E1569" s="3">
        <v>1338800</v>
      </c>
      <c r="F1569" s="1">
        <v>1826.46657571623</v>
      </c>
      <c r="G1569" s="1">
        <v>3</v>
      </c>
      <c r="H1569" s="1">
        <v>1</v>
      </c>
      <c r="I1569" s="1">
        <v>1</v>
      </c>
      <c r="J1569" s="1">
        <v>1</v>
      </c>
      <c r="K1569" s="1">
        <v>1</v>
      </c>
      <c r="M1569" s="1">
        <v>733</v>
      </c>
      <c r="N1569" s="1">
        <v>729</v>
      </c>
      <c r="O1569" s="1">
        <v>1604</v>
      </c>
      <c r="P1569" s="1">
        <v>875</v>
      </c>
      <c r="Q1569" s="1" t="s">
        <v>42</v>
      </c>
      <c r="S1569" s="1" t="s">
        <v>42</v>
      </c>
      <c r="T1569" s="1" t="s">
        <v>153</v>
      </c>
      <c r="U1569" s="1">
        <v>235</v>
      </c>
      <c r="V1569" s="5">
        <v>44426</v>
      </c>
      <c r="W1569" s="5">
        <v>43485</v>
      </c>
      <c r="X1569" s="1">
        <v>1340000</v>
      </c>
      <c r="Y1569" s="1">
        <v>1340000</v>
      </c>
      <c r="Z1569" s="5">
        <v>43721</v>
      </c>
      <c r="AA1569" s="1">
        <v>1338800</v>
      </c>
      <c r="AB1569" s="1" t="s">
        <v>177</v>
      </c>
      <c r="AC1569" s="5">
        <v>44419</v>
      </c>
      <c r="AF1569" s="1">
        <v>10027</v>
      </c>
      <c r="AI1569" s="1" t="s">
        <v>96</v>
      </c>
      <c r="AJ1569" s="1">
        <v>2019</v>
      </c>
      <c r="AK1569" s="1" t="s">
        <v>46</v>
      </c>
      <c r="AL1569" s="1">
        <v>183</v>
      </c>
    </row>
    <row r="1570" spans="1:38" x14ac:dyDescent="0.2">
      <c r="A1570" s="2" t="str">
        <f>HYPERLINK("https://www.compass.com/listing/543-west-122nd-street-unit-18d-manhattan-ny-10027/426119110397152065/","543 W 122nd St, Unit 18D")</f>
        <v>543 W 122nd St, Unit 18D</v>
      </c>
      <c r="B1570" s="2" t="str">
        <f t="shared" si="241"/>
        <v>Vandewater</v>
      </c>
      <c r="C1570" s="1" t="s">
        <v>95</v>
      </c>
      <c r="D1570" s="1" t="s">
        <v>41</v>
      </c>
      <c r="E1570" s="3">
        <v>1260000</v>
      </c>
      <c r="F1570" s="1">
        <v>1636.3636363636299</v>
      </c>
      <c r="G1570" s="1">
        <v>3</v>
      </c>
      <c r="H1570" s="1">
        <v>1</v>
      </c>
      <c r="I1570" s="1">
        <v>1</v>
      </c>
      <c r="J1570" s="1">
        <v>1</v>
      </c>
      <c r="K1570" s="1">
        <v>1</v>
      </c>
      <c r="M1570" s="1">
        <v>770</v>
      </c>
      <c r="N1570" s="1">
        <v>766</v>
      </c>
      <c r="O1570" s="1">
        <v>1685</v>
      </c>
      <c r="P1570" s="1">
        <v>919</v>
      </c>
      <c r="Q1570" s="1" t="s">
        <v>42</v>
      </c>
      <c r="S1570" s="1" t="s">
        <v>42</v>
      </c>
      <c r="T1570" s="1" t="s">
        <v>153</v>
      </c>
      <c r="U1570" s="1">
        <v>187</v>
      </c>
      <c r="V1570" s="5">
        <v>44367</v>
      </c>
      <c r="W1570" s="5">
        <v>43839</v>
      </c>
      <c r="X1570" s="1">
        <v>1280000</v>
      </c>
      <c r="Y1570" s="1">
        <v>1280000</v>
      </c>
      <c r="Z1570" s="5">
        <v>44125</v>
      </c>
      <c r="AA1570" s="1">
        <v>1260000</v>
      </c>
      <c r="AB1570" s="1" t="s">
        <v>171</v>
      </c>
      <c r="AC1570" s="5">
        <v>44126</v>
      </c>
      <c r="AF1570" s="1">
        <v>10027</v>
      </c>
      <c r="AI1570" s="1" t="s">
        <v>96</v>
      </c>
      <c r="AJ1570" s="1">
        <v>2019</v>
      </c>
      <c r="AK1570" s="1" t="s">
        <v>46</v>
      </c>
      <c r="AL1570" s="1">
        <v>183</v>
      </c>
    </row>
    <row r="1571" spans="1:38" x14ac:dyDescent="0.2">
      <c r="A1571" s="2" t="str">
        <f>HYPERLINK("https://www.compass.com/listing/543-west-122nd-street-unit-5b-manhattan-ny-10027/487567556404821921/","543 W 122nd St, Unit 5B")</f>
        <v>543 W 122nd St, Unit 5B</v>
      </c>
      <c r="B1571" s="2" t="str">
        <f t="shared" si="241"/>
        <v>Vandewater</v>
      </c>
      <c r="C1571" s="1" t="s">
        <v>95</v>
      </c>
      <c r="D1571" s="1" t="s">
        <v>41</v>
      </c>
      <c r="E1571" s="3">
        <v>1225464</v>
      </c>
      <c r="F1571" s="1">
        <v>1474.6857761732799</v>
      </c>
      <c r="G1571" s="1">
        <v>3</v>
      </c>
      <c r="H1571" s="1">
        <v>1</v>
      </c>
      <c r="I1571" s="1">
        <v>1</v>
      </c>
      <c r="J1571" s="1">
        <v>1</v>
      </c>
      <c r="K1571" s="1">
        <v>1</v>
      </c>
      <c r="M1571" s="1">
        <v>831</v>
      </c>
      <c r="N1571" s="1">
        <v>826</v>
      </c>
      <c r="O1571" s="1">
        <v>1669</v>
      </c>
      <c r="P1571" s="1">
        <v>843</v>
      </c>
      <c r="Q1571" s="1" t="s">
        <v>42</v>
      </c>
      <c r="S1571" s="1" t="s">
        <v>42</v>
      </c>
      <c r="T1571" s="1" t="s">
        <v>153</v>
      </c>
      <c r="U1571" s="1">
        <v>102</v>
      </c>
      <c r="V1571" s="5">
        <v>44226</v>
      </c>
      <c r="W1571" s="5">
        <v>43924</v>
      </c>
      <c r="X1571" s="1">
        <v>1215000</v>
      </c>
      <c r="Y1571" s="1">
        <v>1215000</v>
      </c>
      <c r="Z1571" s="5">
        <v>44197</v>
      </c>
      <c r="AA1571" s="1">
        <v>1225463.8799999999</v>
      </c>
      <c r="AB1571" s="1" t="s">
        <v>1373</v>
      </c>
      <c r="AC1571" s="5">
        <v>44216</v>
      </c>
      <c r="AF1571" s="1">
        <v>10027</v>
      </c>
      <c r="AI1571" s="1" t="s">
        <v>96</v>
      </c>
      <c r="AJ1571" s="1">
        <v>2019</v>
      </c>
      <c r="AK1571" s="1" t="s">
        <v>46</v>
      </c>
      <c r="AL1571" s="1">
        <v>183</v>
      </c>
    </row>
    <row r="1572" spans="1:38" x14ac:dyDescent="0.2">
      <c r="A1572" s="2" t="str">
        <f>HYPERLINK("https://www.compass.com/listing/543-west-122nd-street-unit-6g-manhattan-ny-10027/693514048051010153/","543 W 122nd St, Unit 6G")</f>
        <v>543 W 122nd St, Unit 6G</v>
      </c>
      <c r="B1572" s="2" t="str">
        <f t="shared" si="241"/>
        <v>Vandewater</v>
      </c>
      <c r="C1572" s="1" t="s">
        <v>95</v>
      </c>
      <c r="D1572" s="1" t="s">
        <v>41</v>
      </c>
      <c r="E1572" s="3">
        <v>1240738</v>
      </c>
      <c r="F1572" s="1">
        <v>1548.9858052434399</v>
      </c>
      <c r="G1572" s="1">
        <v>3</v>
      </c>
      <c r="H1572" s="1">
        <v>1</v>
      </c>
      <c r="I1572" s="1">
        <v>1</v>
      </c>
      <c r="J1572" s="1">
        <v>1</v>
      </c>
      <c r="K1572" s="1">
        <v>1</v>
      </c>
      <c r="M1572" s="1">
        <v>801</v>
      </c>
      <c r="N1572" s="1">
        <v>796</v>
      </c>
      <c r="O1572" s="1">
        <v>1752</v>
      </c>
      <c r="P1572" s="1">
        <v>956</v>
      </c>
      <c r="Q1572" s="1" t="s">
        <v>42</v>
      </c>
      <c r="S1572" s="1" t="s">
        <v>42</v>
      </c>
      <c r="T1572" s="1" t="s">
        <v>153</v>
      </c>
      <c r="U1572" s="1">
        <v>681</v>
      </c>
      <c r="V1572" s="5">
        <v>44335</v>
      </c>
      <c r="W1572" s="5">
        <v>43485</v>
      </c>
      <c r="X1572" s="1">
        <v>1245000</v>
      </c>
      <c r="Y1572" s="1">
        <v>1245000</v>
      </c>
      <c r="Z1572" s="5">
        <v>44261</v>
      </c>
      <c r="AA1572" s="1">
        <v>1240737.6299999999</v>
      </c>
      <c r="AB1572" s="1" t="s">
        <v>1374</v>
      </c>
      <c r="AC1572" s="5">
        <v>44277</v>
      </c>
      <c r="AF1572" s="1">
        <v>10027</v>
      </c>
      <c r="AI1572" s="1" t="s">
        <v>96</v>
      </c>
      <c r="AJ1572" s="1">
        <v>2019</v>
      </c>
      <c r="AK1572" s="1" t="s">
        <v>46</v>
      </c>
      <c r="AL1572" s="1">
        <v>183</v>
      </c>
    </row>
    <row r="1573" spans="1:38" x14ac:dyDescent="0.2">
      <c r="A1573" s="2" t="str">
        <f>HYPERLINK("https://www.compass.com/listing/543-west-122nd-street-unit-5g-manhattan-ny-10027/693516590436707273/","543 W 122nd St, Unit 5G")</f>
        <v>543 W 122nd St, Unit 5G</v>
      </c>
      <c r="B1573" s="2" t="str">
        <f t="shared" si="241"/>
        <v>Vandewater</v>
      </c>
      <c r="C1573" s="1" t="s">
        <v>95</v>
      </c>
      <c r="D1573" s="1" t="s">
        <v>41</v>
      </c>
      <c r="E1573" s="3">
        <v>1225464</v>
      </c>
      <c r="F1573" s="1">
        <v>1529.9174531835199</v>
      </c>
      <c r="G1573" s="1">
        <v>3</v>
      </c>
      <c r="H1573" s="1">
        <v>1</v>
      </c>
      <c r="I1573" s="1">
        <v>1</v>
      </c>
      <c r="J1573" s="1">
        <v>1</v>
      </c>
      <c r="K1573" s="1">
        <v>1</v>
      </c>
      <c r="M1573" s="1">
        <v>801</v>
      </c>
      <c r="N1573" s="1">
        <v>796</v>
      </c>
      <c r="O1573" s="1">
        <v>1752</v>
      </c>
      <c r="P1573" s="1">
        <v>956</v>
      </c>
      <c r="Q1573" s="1" t="s">
        <v>42</v>
      </c>
      <c r="S1573" s="1" t="s">
        <v>42</v>
      </c>
      <c r="T1573" s="1" t="s">
        <v>153</v>
      </c>
      <c r="U1573" s="1">
        <v>685</v>
      </c>
      <c r="V1573" s="5">
        <v>44390</v>
      </c>
      <c r="W1573" s="5">
        <v>43485</v>
      </c>
      <c r="X1573" s="1">
        <v>1230000</v>
      </c>
      <c r="Y1573" s="1">
        <v>1230000</v>
      </c>
      <c r="Z1573" s="5">
        <v>44271</v>
      </c>
      <c r="AA1573" s="1">
        <v>1225463.8799999999</v>
      </c>
      <c r="AB1573" s="1" t="s">
        <v>1375</v>
      </c>
      <c r="AC1573" s="5">
        <v>44264</v>
      </c>
      <c r="AF1573" s="1">
        <v>10027</v>
      </c>
      <c r="AI1573" s="1" t="s">
        <v>96</v>
      </c>
      <c r="AJ1573" s="1">
        <v>2019</v>
      </c>
      <c r="AK1573" s="1" t="s">
        <v>46</v>
      </c>
      <c r="AL1573" s="1">
        <v>183</v>
      </c>
    </row>
    <row r="1574" spans="1:38" x14ac:dyDescent="0.2">
      <c r="A1574" s="2" t="str">
        <f>HYPERLINK("https://www.compass.com/listing/543-west-122nd-street-unit-12h-manhattan-ny-10027/629845168981704945/","543 W 122nd St, Unit 12H")</f>
        <v>543 W 122nd St, Unit 12H</v>
      </c>
      <c r="B1574" s="2" t="str">
        <f t="shared" si="241"/>
        <v>Vandewater</v>
      </c>
      <c r="C1574" s="1" t="s">
        <v>95</v>
      </c>
      <c r="D1574" s="1" t="s">
        <v>41</v>
      </c>
      <c r="E1574" s="3">
        <v>2900000</v>
      </c>
      <c r="F1574" s="1">
        <v>1643.99092970521</v>
      </c>
      <c r="G1574" s="1">
        <v>5</v>
      </c>
      <c r="H1574" s="1">
        <v>3</v>
      </c>
      <c r="I1574" s="1">
        <v>3</v>
      </c>
      <c r="J1574" s="1">
        <v>2.5</v>
      </c>
      <c r="K1574" s="1">
        <v>2</v>
      </c>
      <c r="L1574" s="1">
        <v>1</v>
      </c>
      <c r="M1574" s="4">
        <v>1764</v>
      </c>
      <c r="N1574" s="1">
        <v>1754</v>
      </c>
      <c r="O1574" s="1">
        <v>3859</v>
      </c>
      <c r="P1574" s="1">
        <v>2105</v>
      </c>
      <c r="Q1574" s="1" t="s">
        <v>42</v>
      </c>
      <c r="S1574" s="1" t="s">
        <v>42</v>
      </c>
      <c r="T1574" s="1" t="s">
        <v>153</v>
      </c>
      <c r="V1574" s="5">
        <v>44418</v>
      </c>
      <c r="W1574" s="5">
        <v>44120</v>
      </c>
      <c r="X1574" s="1">
        <v>2910000</v>
      </c>
      <c r="Y1574" s="1">
        <v>2910000</v>
      </c>
      <c r="Z1574" s="5">
        <v>44317</v>
      </c>
      <c r="AA1574" s="1">
        <v>2900000</v>
      </c>
      <c r="AB1574" s="1" t="s">
        <v>177</v>
      </c>
      <c r="AC1574" s="5">
        <v>44385</v>
      </c>
      <c r="AF1574" s="1">
        <v>10027</v>
      </c>
      <c r="AI1574" s="1" t="s">
        <v>96</v>
      </c>
      <c r="AJ1574" s="1">
        <v>2019</v>
      </c>
      <c r="AK1574" s="1" t="s">
        <v>46</v>
      </c>
      <c r="AL1574" s="1">
        <v>183</v>
      </c>
    </row>
    <row r="1575" spans="1:38" x14ac:dyDescent="0.2">
      <c r="A1575" s="2" t="str">
        <f>HYPERLINK("https://www.compass.com/listing/52-convent-avenue-unit-4c-manhattan-ny-10027/373190146555449841/","52 Convent Ave, Unit 4C")</f>
        <v>52 Convent Ave, Unit 4C</v>
      </c>
      <c r="B1575" s="2" t="str">
        <f t="shared" ref="B1575:B1576" si="242">HYPERLINK("https://www.compass.com/building/52-convent-avenue-manhattan-ny/292889753865529749/","52 Convent Avenue ")</f>
        <v xml:space="preserve">52 Convent Avenue </v>
      </c>
      <c r="C1575" s="1" t="s">
        <v>95</v>
      </c>
      <c r="D1575" s="1" t="s">
        <v>41</v>
      </c>
      <c r="E1575" s="3">
        <v>1350000</v>
      </c>
      <c r="F1575" s="1">
        <v>1081.73076923076</v>
      </c>
      <c r="G1575" s="1">
        <v>5</v>
      </c>
      <c r="H1575" s="1">
        <v>3</v>
      </c>
      <c r="I1575" s="1">
        <v>2</v>
      </c>
      <c r="J1575" s="1">
        <v>2</v>
      </c>
      <c r="K1575" s="1">
        <v>2</v>
      </c>
      <c r="M1575" s="4">
        <v>1248</v>
      </c>
      <c r="N1575" s="1">
        <v>857</v>
      </c>
      <c r="O1575" s="1">
        <v>1716</v>
      </c>
      <c r="P1575" s="1">
        <v>859</v>
      </c>
      <c r="Q1575" s="1" t="s">
        <v>42</v>
      </c>
      <c r="S1575" s="1" t="s">
        <v>42</v>
      </c>
      <c r="T1575" s="1" t="s">
        <v>153</v>
      </c>
      <c r="V1575" s="5">
        <v>43795</v>
      </c>
      <c r="W1575" s="5">
        <v>43767</v>
      </c>
      <c r="X1575" s="1">
        <v>1350000</v>
      </c>
      <c r="Y1575" s="1">
        <v>1350000</v>
      </c>
      <c r="Z1575" s="5">
        <v>43767</v>
      </c>
      <c r="AA1575" s="1">
        <v>1350000</v>
      </c>
      <c r="AB1575" s="1" t="s">
        <v>1376</v>
      </c>
      <c r="AC1575" s="5">
        <v>43784</v>
      </c>
      <c r="AF1575" s="1">
        <v>10027</v>
      </c>
      <c r="AI1575" s="1" t="s">
        <v>1324</v>
      </c>
      <c r="AJ1575" s="1">
        <v>2018</v>
      </c>
      <c r="AK1575" s="1" t="s">
        <v>124</v>
      </c>
      <c r="AL1575" s="1">
        <v>17</v>
      </c>
    </row>
    <row r="1576" spans="1:38" x14ac:dyDescent="0.2">
      <c r="A1576" s="2" t="str">
        <f>HYPERLINK("https://www.compass.com/listing/52-convent-avenue-unit-5b-manhattan-ny-10027/373190147429140497/","52 Convent Ave, Unit 5B")</f>
        <v>52 Convent Ave, Unit 5B</v>
      </c>
      <c r="B1576" s="2" t="str">
        <f t="shared" si="242"/>
        <v xml:space="preserve">52 Convent Avenue </v>
      </c>
      <c r="C1576" s="1" t="s">
        <v>95</v>
      </c>
      <c r="D1576" s="1" t="s">
        <v>41</v>
      </c>
      <c r="E1576" s="3">
        <v>1275000</v>
      </c>
      <c r="F1576" s="1">
        <v>1021.63461538461</v>
      </c>
      <c r="G1576" s="1">
        <v>4</v>
      </c>
      <c r="H1576" s="1">
        <v>3</v>
      </c>
      <c r="I1576" s="1">
        <v>2</v>
      </c>
      <c r="J1576" s="1">
        <v>2</v>
      </c>
      <c r="K1576" s="1">
        <v>2</v>
      </c>
      <c r="M1576" s="4">
        <v>1248</v>
      </c>
      <c r="N1576" s="1">
        <v>873</v>
      </c>
      <c r="O1576" s="1">
        <v>1087</v>
      </c>
      <c r="P1576" s="1">
        <v>214</v>
      </c>
      <c r="Q1576" s="1" t="s">
        <v>42</v>
      </c>
      <c r="S1576" s="1" t="s">
        <v>42</v>
      </c>
      <c r="T1576" s="1" t="s">
        <v>153</v>
      </c>
      <c r="U1576" s="1">
        <v>144</v>
      </c>
      <c r="V1576" s="5">
        <v>44371</v>
      </c>
      <c r="W1576" s="5">
        <v>43766</v>
      </c>
      <c r="X1576" s="1">
        <v>1370000</v>
      </c>
      <c r="Y1576" s="1">
        <v>1295000</v>
      </c>
      <c r="Z1576" s="5">
        <v>43991</v>
      </c>
      <c r="AA1576" s="1">
        <v>1275000</v>
      </c>
      <c r="AB1576" s="1" t="s">
        <v>177</v>
      </c>
      <c r="AC1576" s="5">
        <v>44363</v>
      </c>
      <c r="AF1576" s="1">
        <v>10027</v>
      </c>
      <c r="AI1576" s="1" t="s">
        <v>1324</v>
      </c>
      <c r="AJ1576" s="1">
        <v>2018</v>
      </c>
      <c r="AK1576" s="1" t="s">
        <v>86</v>
      </c>
      <c r="AL1576" s="1">
        <v>17</v>
      </c>
    </row>
    <row r="1577" spans="1:38" x14ac:dyDescent="0.2">
      <c r="A1577" s="2" t="str">
        <f>HYPERLINK("https://www.compass.com/listing/543-west-122nd-street-unit-18g-manhattan-ny-10027/339709103567306721/","543 W 122nd St, Unit 18G")</f>
        <v>543 W 122nd St, Unit 18G</v>
      </c>
      <c r="B1577" s="2" t="str">
        <f t="shared" ref="B1577:B1580" si="243">HYPERLINK("https://www.compass.com/building/vandewater-manhattan-ny/282058681657361477/","Vandewater")</f>
        <v>Vandewater</v>
      </c>
      <c r="C1577" s="1" t="s">
        <v>95</v>
      </c>
      <c r="D1577" s="1" t="s">
        <v>41</v>
      </c>
      <c r="E1577" s="3">
        <v>3075000</v>
      </c>
      <c r="F1577" s="1">
        <v>1672.1044045676999</v>
      </c>
      <c r="G1577" s="1">
        <v>5.5</v>
      </c>
      <c r="H1577" s="1">
        <v>3</v>
      </c>
      <c r="I1577" s="1">
        <v>3</v>
      </c>
      <c r="J1577" s="1">
        <v>2.5</v>
      </c>
      <c r="K1577" s="1">
        <v>2</v>
      </c>
      <c r="L1577" s="1">
        <v>1</v>
      </c>
      <c r="M1577" s="4">
        <v>1839</v>
      </c>
      <c r="N1577" s="1">
        <v>1829</v>
      </c>
      <c r="O1577" s="1">
        <v>4025</v>
      </c>
      <c r="P1577" s="1">
        <v>2196</v>
      </c>
      <c r="Q1577" s="1" t="s">
        <v>42</v>
      </c>
      <c r="S1577" s="1" t="s">
        <v>42</v>
      </c>
      <c r="T1577" s="1" t="s">
        <v>153</v>
      </c>
      <c r="U1577" s="1">
        <v>133</v>
      </c>
      <c r="V1577" s="5">
        <v>44418</v>
      </c>
      <c r="W1577" s="5">
        <v>44120</v>
      </c>
      <c r="X1577" s="1">
        <v>3120000</v>
      </c>
      <c r="Y1577" s="1">
        <v>3120000</v>
      </c>
      <c r="Z1577" s="5">
        <v>44254</v>
      </c>
      <c r="AA1577" s="1">
        <v>3075000</v>
      </c>
      <c r="AB1577" s="1" t="s">
        <v>1377</v>
      </c>
      <c r="AC1577" s="5">
        <v>44404</v>
      </c>
      <c r="AF1577" s="1">
        <v>10027</v>
      </c>
      <c r="AI1577" s="1" t="s">
        <v>96</v>
      </c>
      <c r="AJ1577" s="1">
        <v>2019</v>
      </c>
      <c r="AK1577" s="1" t="s">
        <v>46</v>
      </c>
      <c r="AL1577" s="1">
        <v>183</v>
      </c>
    </row>
    <row r="1578" spans="1:38" x14ac:dyDescent="0.2">
      <c r="A1578" s="2" t="str">
        <f>HYPERLINK("https://www.compass.com/listing/543-west-122nd-street-unit-25b-manhattan-ny-10027/426101203736894673/","543 W 122nd St, Unit 25B")</f>
        <v>543 W 122nd St, Unit 25B</v>
      </c>
      <c r="B1578" s="2" t="str">
        <f t="shared" si="243"/>
        <v>Vandewater</v>
      </c>
      <c r="C1578" s="1" t="s">
        <v>95</v>
      </c>
      <c r="D1578" s="1" t="s">
        <v>41</v>
      </c>
      <c r="E1578" s="3">
        <v>4490000</v>
      </c>
      <c r="F1578" s="1">
        <v>1983.2155477031799</v>
      </c>
      <c r="G1578" s="1">
        <v>6.5</v>
      </c>
      <c r="H1578" s="1">
        <v>4</v>
      </c>
      <c r="I1578" s="1">
        <v>4</v>
      </c>
      <c r="J1578" s="1">
        <v>3.5</v>
      </c>
      <c r="K1578" s="1">
        <v>3</v>
      </c>
      <c r="L1578" s="1">
        <v>1</v>
      </c>
      <c r="M1578" s="4">
        <v>2264</v>
      </c>
      <c r="N1578" s="1">
        <v>2251</v>
      </c>
      <c r="O1578" s="1">
        <v>4953</v>
      </c>
      <c r="P1578" s="1">
        <v>2702</v>
      </c>
      <c r="Q1578" s="1" t="s">
        <v>42</v>
      </c>
      <c r="S1578" s="1" t="s">
        <v>42</v>
      </c>
      <c r="T1578" s="1" t="s">
        <v>153</v>
      </c>
      <c r="V1578" s="5">
        <v>44379</v>
      </c>
      <c r="W1578" s="5">
        <v>43839</v>
      </c>
      <c r="X1578" s="1">
        <v>4550000</v>
      </c>
      <c r="Y1578" s="1">
        <v>4550000</v>
      </c>
      <c r="Z1578" s="5">
        <v>43839</v>
      </c>
      <c r="AA1578" s="1">
        <v>4490000</v>
      </c>
      <c r="AB1578" s="1" t="s">
        <v>1378</v>
      </c>
      <c r="AC1578" s="5">
        <v>44378</v>
      </c>
      <c r="AF1578" s="1">
        <v>10027</v>
      </c>
      <c r="AI1578" s="1" t="s">
        <v>96</v>
      </c>
      <c r="AJ1578" s="1">
        <v>2019</v>
      </c>
      <c r="AK1578" s="1" t="s">
        <v>46</v>
      </c>
      <c r="AL1578" s="1">
        <v>183</v>
      </c>
    </row>
    <row r="1579" spans="1:38" x14ac:dyDescent="0.2">
      <c r="A1579" s="2" t="str">
        <f>HYPERLINK("https://www.compass.com/listing/543-west-122nd-street-unit-21g-manhattan-ny-10027/657951743276988009/","543 W 122nd St, Unit 21G")</f>
        <v>543 W 122nd St, Unit 21G</v>
      </c>
      <c r="B1579" s="2" t="str">
        <f t="shared" si="243"/>
        <v>Vandewater</v>
      </c>
      <c r="C1579" s="1" t="s">
        <v>95</v>
      </c>
      <c r="D1579" s="1" t="s">
        <v>41</v>
      </c>
      <c r="E1579" s="3">
        <v>3150000</v>
      </c>
      <c r="F1579" s="1">
        <v>1689.9141630901199</v>
      </c>
      <c r="G1579" s="1">
        <v>5</v>
      </c>
      <c r="H1579" s="1">
        <v>3</v>
      </c>
      <c r="I1579" s="1">
        <v>3</v>
      </c>
      <c r="J1579" s="1">
        <v>2</v>
      </c>
      <c r="K1579" s="1">
        <v>2</v>
      </c>
      <c r="M1579" s="4">
        <v>1864</v>
      </c>
      <c r="N1579" s="1">
        <v>1829</v>
      </c>
      <c r="O1579" s="1">
        <v>4023</v>
      </c>
      <c r="P1579" s="1">
        <v>2194</v>
      </c>
      <c r="Q1579" s="1" t="s">
        <v>42</v>
      </c>
      <c r="S1579" s="1" t="s">
        <v>42</v>
      </c>
      <c r="T1579" s="1" t="s">
        <v>153</v>
      </c>
      <c r="U1579" s="1">
        <v>580</v>
      </c>
      <c r="V1579" s="5">
        <v>44317</v>
      </c>
      <c r="W1579" s="5">
        <v>43485</v>
      </c>
      <c r="X1579" s="1">
        <v>3240000</v>
      </c>
      <c r="Y1579" s="1">
        <v>3240000</v>
      </c>
      <c r="Z1579" s="5">
        <v>44160</v>
      </c>
      <c r="AA1579" s="1">
        <v>3150000</v>
      </c>
      <c r="AB1579" s="1" t="s">
        <v>1379</v>
      </c>
      <c r="AC1579" s="5">
        <v>44316</v>
      </c>
      <c r="AF1579" s="1">
        <v>10027</v>
      </c>
      <c r="AI1579" s="1" t="s">
        <v>96</v>
      </c>
      <c r="AJ1579" s="1">
        <v>2019</v>
      </c>
      <c r="AK1579" s="1" t="s">
        <v>46</v>
      </c>
      <c r="AL1579" s="1">
        <v>183</v>
      </c>
    </row>
    <row r="1580" spans="1:38" x14ac:dyDescent="0.2">
      <c r="A1580" s="2" t="str">
        <f>HYPERLINK("https://www.compass.com/listing/543-west-122nd-street-unit-ph33a-manhattan-ny-10027/673786371373988705/","543 W 122nd St, Unit PH33A")</f>
        <v>543 W 122nd St, Unit PH33A</v>
      </c>
      <c r="B1580" s="2" t="str">
        <f t="shared" si="243"/>
        <v>Vandewater</v>
      </c>
      <c r="C1580" s="1" t="s">
        <v>95</v>
      </c>
      <c r="D1580" s="1" t="s">
        <v>41</v>
      </c>
      <c r="E1580" s="3">
        <v>3735000</v>
      </c>
      <c r="F1580" s="1">
        <v>2184.21052631578</v>
      </c>
      <c r="G1580" s="1">
        <v>5</v>
      </c>
      <c r="H1580" s="1">
        <v>3</v>
      </c>
      <c r="I1580" s="1">
        <v>3</v>
      </c>
      <c r="J1580" s="1">
        <v>2</v>
      </c>
      <c r="K1580" s="1">
        <v>2</v>
      </c>
      <c r="M1580" s="4">
        <v>1710</v>
      </c>
      <c r="N1580" s="1">
        <v>1859</v>
      </c>
      <c r="O1580" s="1">
        <v>4090</v>
      </c>
      <c r="P1580" s="1">
        <v>2231</v>
      </c>
      <c r="Q1580" s="1" t="s">
        <v>42</v>
      </c>
      <c r="S1580" s="1" t="s">
        <v>42</v>
      </c>
      <c r="T1580" s="1" t="s">
        <v>153</v>
      </c>
      <c r="U1580" s="1">
        <v>602</v>
      </c>
      <c r="V1580" s="5">
        <v>44369</v>
      </c>
      <c r="W1580" s="5">
        <v>43485</v>
      </c>
      <c r="X1580" s="1">
        <v>4050000</v>
      </c>
      <c r="Y1580" s="1">
        <v>4050000</v>
      </c>
      <c r="Z1580" s="5">
        <v>44181</v>
      </c>
      <c r="AA1580" s="1">
        <v>3735000</v>
      </c>
      <c r="AB1580" s="1" t="s">
        <v>177</v>
      </c>
      <c r="AC1580" s="5">
        <v>44361</v>
      </c>
      <c r="AF1580" s="1">
        <v>10027</v>
      </c>
      <c r="AI1580" s="1" t="s">
        <v>120</v>
      </c>
      <c r="AJ1580" s="1">
        <v>2019</v>
      </c>
      <c r="AK1580" s="1" t="s">
        <v>46</v>
      </c>
      <c r="AL1580" s="1">
        <v>183</v>
      </c>
    </row>
    <row r="1581" spans="1:38" x14ac:dyDescent="0.2">
      <c r="A1581" s="2" t="str">
        <f>HYPERLINK("https://www.compass.com/listing/52-convent-avenue-unit-2c-manhattan-ny-10027/257725535306654001/","52 Convent Ave, Unit 2C")</f>
        <v>52 Convent Ave, Unit 2C</v>
      </c>
      <c r="B1581" s="2" t="str">
        <f>HYPERLINK("https://www.compass.com/building/52-convent-avenue-manhattan-ny/292889753865529749/","52 Convent Avenue ")</f>
        <v xml:space="preserve">52 Convent Avenue </v>
      </c>
      <c r="C1581" s="1" t="s">
        <v>60</v>
      </c>
      <c r="D1581" s="1" t="s">
        <v>41</v>
      </c>
      <c r="E1581" s="3">
        <v>1200000</v>
      </c>
      <c r="F1581" s="1">
        <v>961.53846153846098</v>
      </c>
      <c r="G1581" s="1">
        <v>4</v>
      </c>
      <c r="H1581" s="1">
        <v>3</v>
      </c>
      <c r="I1581" s="1">
        <v>2</v>
      </c>
      <c r="J1581" s="1">
        <v>2</v>
      </c>
      <c r="K1581" s="1">
        <v>2</v>
      </c>
      <c r="M1581" s="4">
        <v>1248</v>
      </c>
      <c r="N1581" s="1">
        <v>826</v>
      </c>
      <c r="O1581" s="1">
        <v>1026</v>
      </c>
      <c r="P1581" s="1">
        <v>200</v>
      </c>
      <c r="Q1581" s="1" t="s">
        <v>42</v>
      </c>
      <c r="S1581" s="1" t="s">
        <v>42</v>
      </c>
      <c r="T1581" s="1" t="s">
        <v>153</v>
      </c>
      <c r="U1581" s="1">
        <v>545</v>
      </c>
      <c r="V1581" s="5">
        <v>44301</v>
      </c>
      <c r="W1581" s="5">
        <v>43607</v>
      </c>
      <c r="X1581" s="1">
        <v>1295000</v>
      </c>
      <c r="Y1581" s="1">
        <v>1245000</v>
      </c>
      <c r="Z1581" s="5">
        <v>44247</v>
      </c>
      <c r="AA1581" s="1">
        <v>1200000</v>
      </c>
      <c r="AB1581" s="1" t="s">
        <v>1380</v>
      </c>
      <c r="AC1581" s="5">
        <v>44299</v>
      </c>
      <c r="AF1581" s="1">
        <v>10027</v>
      </c>
      <c r="AI1581" s="1" t="s">
        <v>1324</v>
      </c>
      <c r="AJ1581" s="1">
        <v>2018</v>
      </c>
      <c r="AK1581" s="1" t="s">
        <v>86</v>
      </c>
      <c r="AL1581" s="1">
        <v>17</v>
      </c>
    </row>
    <row r="1582" spans="1:38" x14ac:dyDescent="0.2">
      <c r="A1582" s="2" t="str">
        <f>HYPERLINK("https://www.compass.com/listing/69-bennett-avenue-unit-301-manhattan-ny-10033/29436861978103921/","69 Bennett Ave, Unit 301")</f>
        <v>69 Bennett Ave, Unit 301</v>
      </c>
      <c r="B1582" s="2" t="str">
        <f>HYPERLINK("https://www.compass.com/building/69-bennett-ave-manhattan-ny-10033/282013522349526869/","69 Bennett Ave")</f>
        <v>69 Bennett Ave</v>
      </c>
      <c r="C1582" s="1" t="s">
        <v>122</v>
      </c>
      <c r="D1582" s="1" t="s">
        <v>41</v>
      </c>
      <c r="E1582" s="3">
        <v>375180</v>
      </c>
      <c r="F1582" s="1">
        <v>632.68128161888706</v>
      </c>
      <c r="H1582" s="1">
        <v>1</v>
      </c>
      <c r="J1582" s="1">
        <v>1</v>
      </c>
      <c r="K1582" s="1">
        <v>1</v>
      </c>
      <c r="M1582" s="1">
        <v>593</v>
      </c>
      <c r="N1582" s="1">
        <v>400</v>
      </c>
      <c r="O1582" s="1">
        <v>625</v>
      </c>
      <c r="P1582" s="1">
        <v>225</v>
      </c>
      <c r="Q1582" s="1" t="s">
        <v>42</v>
      </c>
      <c r="S1582" s="1" t="s">
        <v>42</v>
      </c>
      <c r="T1582" s="1" t="s">
        <v>153</v>
      </c>
      <c r="AA1582" s="1">
        <v>375180</v>
      </c>
      <c r="AB1582" s="1" t="s">
        <v>1381</v>
      </c>
      <c r="AC1582" s="5">
        <v>42528</v>
      </c>
      <c r="AF1582" s="1">
        <v>10033</v>
      </c>
      <c r="AJ1582" s="1">
        <v>1954</v>
      </c>
      <c r="AL1582" s="1">
        <v>60</v>
      </c>
    </row>
    <row r="1583" spans="1:38" x14ac:dyDescent="0.2">
      <c r="A1583" s="2" t="str">
        <f>HYPERLINK("https://www.compass.com/listing/52-convent-avenue-unit-5a-manhattan-ny-10027/340515611838376465/","52 Convent Ave, Unit 5A")</f>
        <v>52 Convent Ave, Unit 5A</v>
      </c>
      <c r="B1583" s="2" t="str">
        <f>HYPERLINK("https://www.compass.com/building/52-convent-avenue-manhattan-ny/292889753865529749/","52 Convent Avenue ")</f>
        <v xml:space="preserve">52 Convent Avenue </v>
      </c>
      <c r="C1583" s="1" t="s">
        <v>60</v>
      </c>
      <c r="D1583" s="1" t="s">
        <v>41</v>
      </c>
      <c r="E1583" s="3">
        <v>1525000</v>
      </c>
      <c r="F1583" s="1">
        <v>973.81864623243905</v>
      </c>
      <c r="G1583" s="1">
        <v>6</v>
      </c>
      <c r="H1583" s="1">
        <v>4</v>
      </c>
      <c r="I1583" s="1">
        <v>3</v>
      </c>
      <c r="J1583" s="1">
        <v>3</v>
      </c>
      <c r="K1583" s="1">
        <v>3</v>
      </c>
      <c r="M1583" s="4">
        <v>1566</v>
      </c>
      <c r="N1583" s="1">
        <v>1198</v>
      </c>
      <c r="O1583" s="1">
        <v>1487</v>
      </c>
      <c r="P1583" s="1">
        <v>289</v>
      </c>
      <c r="Q1583" s="1" t="s">
        <v>42</v>
      </c>
      <c r="S1583" s="1" t="s">
        <v>42</v>
      </c>
      <c r="T1583" s="1" t="s">
        <v>153</v>
      </c>
      <c r="U1583" s="1">
        <v>430</v>
      </c>
      <c r="V1583" s="5">
        <v>44289</v>
      </c>
      <c r="W1583" s="5">
        <v>43721</v>
      </c>
      <c r="X1583" s="1">
        <v>1695000</v>
      </c>
      <c r="Y1583" s="1">
        <v>1575000</v>
      </c>
      <c r="Z1583" s="5">
        <v>44246</v>
      </c>
      <c r="AA1583" s="1">
        <v>1525000</v>
      </c>
      <c r="AB1583" s="1" t="s">
        <v>1382</v>
      </c>
      <c r="AC1583" s="5">
        <v>44286</v>
      </c>
      <c r="AF1583" s="1">
        <v>10027</v>
      </c>
      <c r="AI1583" s="1" t="s">
        <v>1324</v>
      </c>
      <c r="AJ1583" s="1">
        <v>2018</v>
      </c>
      <c r="AK1583" s="1" t="s">
        <v>86</v>
      </c>
      <c r="AL1583" s="1">
        <v>17</v>
      </c>
    </row>
    <row r="1584" spans="1:38" x14ac:dyDescent="0.2">
      <c r="A1584" s="2" t="str">
        <f>HYPERLINK("https://www.compass.com/listing/1325-5th-avenue-unit-5i-manhattan-ny-10029/135267858258140961/","1325 5th Ave, Unit 5I")</f>
        <v>1325 5th Ave, Unit 5I</v>
      </c>
      <c r="B1584" s="2" t="str">
        <f>HYPERLINK("https://www.compass.com/building/the-fifth-avenue-manhattan-ny/294843719022876805/","The Fifth Avenue")</f>
        <v>The Fifth Avenue</v>
      </c>
      <c r="C1584" s="1" t="s">
        <v>226</v>
      </c>
      <c r="D1584" s="1" t="s">
        <v>41</v>
      </c>
      <c r="E1584" s="3">
        <v>580403</v>
      </c>
      <c r="F1584" s="1">
        <v>898.45588235294099</v>
      </c>
      <c r="G1584" s="1">
        <v>3</v>
      </c>
      <c r="H1584" s="1">
        <v>1</v>
      </c>
      <c r="I1584" s="1">
        <v>1</v>
      </c>
      <c r="J1584" s="1">
        <v>1</v>
      </c>
      <c r="K1584" s="1">
        <v>1</v>
      </c>
      <c r="M1584" s="1">
        <v>646</v>
      </c>
      <c r="N1584" s="1">
        <v>404.27</v>
      </c>
      <c r="O1584" s="1">
        <v>1132.25</v>
      </c>
      <c r="P1584" s="1">
        <v>728</v>
      </c>
      <c r="Q1584" s="1" t="s">
        <v>42</v>
      </c>
      <c r="S1584" s="1" t="s">
        <v>42</v>
      </c>
      <c r="T1584" s="1" t="s">
        <v>153</v>
      </c>
      <c r="V1584" s="5">
        <v>44007</v>
      </c>
      <c r="W1584" s="5">
        <v>43438</v>
      </c>
      <c r="X1584" s="1">
        <v>760000</v>
      </c>
      <c r="Y1584" s="1">
        <v>760000</v>
      </c>
      <c r="Z1584" s="5">
        <v>43438</v>
      </c>
      <c r="AA1584" s="1">
        <v>580402.5</v>
      </c>
      <c r="AB1584" s="1" t="s">
        <v>1383</v>
      </c>
      <c r="AC1584" s="5">
        <v>43874</v>
      </c>
      <c r="AF1584" s="1">
        <v>10029</v>
      </c>
      <c r="AI1584" s="1" t="s">
        <v>113</v>
      </c>
      <c r="AJ1584" s="1">
        <v>1989</v>
      </c>
      <c r="AK1584" s="1" t="s">
        <v>49</v>
      </c>
      <c r="AL1584" s="1">
        <v>71</v>
      </c>
    </row>
    <row r="1585" spans="1:38" x14ac:dyDescent="0.2">
      <c r="A1585" s="2" t="str">
        <f>HYPERLINK("https://www.compass.com/listing/575-main-street-unit-501-manhattan-ny-10044/576131497797520449/","575 Main St, Unit 501")</f>
        <v>575 Main St, Unit 501</v>
      </c>
      <c r="B1585" s="2" t="str">
        <f t="shared" ref="B1585:B1594" si="244">HYPERLINK("https://www.compass.com/building/island-house-manhattan-ny/282065365649887429/","Island House")</f>
        <v>Island House</v>
      </c>
      <c r="C1585" s="1" t="s">
        <v>116</v>
      </c>
      <c r="D1585" s="1" t="s">
        <v>41</v>
      </c>
      <c r="E1585" s="3">
        <v>431379</v>
      </c>
      <c r="F1585" s="1">
        <v>537.20921544209205</v>
      </c>
      <c r="G1585" s="1">
        <v>3.5</v>
      </c>
      <c r="H1585" s="1">
        <v>1</v>
      </c>
      <c r="I1585" s="1">
        <v>1</v>
      </c>
      <c r="J1585" s="1">
        <v>1</v>
      </c>
      <c r="K1585" s="1">
        <v>1</v>
      </c>
      <c r="M1585" s="1">
        <v>803</v>
      </c>
      <c r="N1585" s="1">
        <v>732</v>
      </c>
      <c r="O1585" s="1">
        <v>732</v>
      </c>
      <c r="Q1585" s="1" t="s">
        <v>117</v>
      </c>
      <c r="S1585" s="1" t="s">
        <v>117</v>
      </c>
      <c r="T1585" s="1" t="s">
        <v>153</v>
      </c>
      <c r="U1585" s="1">
        <v>91</v>
      </c>
      <c r="V1585" s="5">
        <v>44335</v>
      </c>
      <c r="W1585" s="5">
        <v>44046</v>
      </c>
      <c r="X1585" s="1">
        <v>431378</v>
      </c>
      <c r="Y1585" s="1">
        <v>431378</v>
      </c>
      <c r="Z1585" s="5">
        <v>44138</v>
      </c>
      <c r="AA1585" s="1">
        <v>431379</v>
      </c>
      <c r="AB1585" s="1" t="s">
        <v>177</v>
      </c>
      <c r="AC1585" s="5">
        <v>44218</v>
      </c>
      <c r="AF1585" s="1">
        <v>10044</v>
      </c>
      <c r="AJ1585" s="1">
        <v>1975</v>
      </c>
      <c r="AK1585" s="1" t="s">
        <v>99</v>
      </c>
      <c r="AL1585" s="1">
        <v>400</v>
      </c>
    </row>
    <row r="1586" spans="1:38" x14ac:dyDescent="0.2">
      <c r="A1586" s="2" t="str">
        <f>HYPERLINK("https://www.compass.com/listing/575-main-street-unit-1811-manhattan-ny-10044/29512729119162753/","575 Main St, Unit 1811")</f>
        <v>575 Main St, Unit 1811</v>
      </c>
      <c r="B1586" s="2" t="str">
        <f t="shared" si="244"/>
        <v>Island House</v>
      </c>
      <c r="C1586" s="1" t="s">
        <v>116</v>
      </c>
      <c r="D1586" s="1" t="s">
        <v>41</v>
      </c>
      <c r="E1586" s="3">
        <v>430000</v>
      </c>
      <c r="F1586" s="1">
        <v>721.47651006711396</v>
      </c>
      <c r="G1586" s="1">
        <v>2</v>
      </c>
      <c r="H1586" s="1" t="s">
        <v>94</v>
      </c>
      <c r="I1586" s="1">
        <v>1</v>
      </c>
      <c r="J1586" s="1">
        <v>1</v>
      </c>
      <c r="K1586" s="1">
        <v>1</v>
      </c>
      <c r="M1586" s="1">
        <v>596</v>
      </c>
      <c r="N1586" s="1">
        <v>732</v>
      </c>
      <c r="O1586" s="1">
        <v>732</v>
      </c>
      <c r="Q1586" s="1" t="s">
        <v>117</v>
      </c>
      <c r="S1586" s="1" t="s">
        <v>117</v>
      </c>
      <c r="T1586" s="1" t="s">
        <v>153</v>
      </c>
      <c r="U1586" s="1">
        <v>252</v>
      </c>
      <c r="V1586" s="5">
        <v>43644</v>
      </c>
      <c r="W1586" s="5">
        <v>43200</v>
      </c>
      <c r="X1586" s="1">
        <v>489000</v>
      </c>
      <c r="Y1586" s="1">
        <v>430000</v>
      </c>
      <c r="Z1586" s="5">
        <v>43452</v>
      </c>
      <c r="AA1586" s="1">
        <v>430000</v>
      </c>
      <c r="AB1586" s="1" t="s">
        <v>177</v>
      </c>
      <c r="AC1586" s="5">
        <v>43527</v>
      </c>
      <c r="AF1586" s="1">
        <v>10044</v>
      </c>
      <c r="AI1586" s="1" t="s">
        <v>66</v>
      </c>
      <c r="AJ1586" s="1">
        <v>1975</v>
      </c>
      <c r="AK1586" s="1" t="s">
        <v>86</v>
      </c>
      <c r="AL1586" s="1">
        <v>400</v>
      </c>
    </row>
    <row r="1587" spans="1:38" x14ac:dyDescent="0.2">
      <c r="A1587" s="2" t="str">
        <f>HYPERLINK("https://www.compass.com/listing/575-main-street-unit-301-manhattan-ny-10044/4852288236485090513/","575 Main St, Unit 301")</f>
        <v>575 Main St, Unit 301</v>
      </c>
      <c r="B1587" s="2" t="str">
        <f t="shared" si="244"/>
        <v>Island House</v>
      </c>
      <c r="C1587" s="1" t="s">
        <v>116</v>
      </c>
      <c r="D1587" s="1" t="s">
        <v>41</v>
      </c>
      <c r="E1587" s="3">
        <v>469000</v>
      </c>
      <c r="F1587" s="1">
        <v>576.87576875768696</v>
      </c>
      <c r="G1587" s="1">
        <v>4</v>
      </c>
      <c r="H1587" s="1">
        <v>1</v>
      </c>
      <c r="I1587" s="1">
        <v>1</v>
      </c>
      <c r="J1587" s="1">
        <v>1</v>
      </c>
      <c r="K1587" s="1">
        <v>1</v>
      </c>
      <c r="M1587" s="1">
        <v>813</v>
      </c>
      <c r="N1587" s="1">
        <v>752</v>
      </c>
      <c r="O1587" s="1">
        <v>752</v>
      </c>
      <c r="Q1587" s="1" t="s">
        <v>117</v>
      </c>
      <c r="S1587" s="1" t="s">
        <v>117</v>
      </c>
      <c r="T1587" s="1" t="s">
        <v>153</v>
      </c>
      <c r="U1587" s="1">
        <v>40</v>
      </c>
      <c r="V1587" s="5">
        <v>43679</v>
      </c>
      <c r="W1587" s="5">
        <v>42160</v>
      </c>
      <c r="X1587" s="1">
        <v>469000</v>
      </c>
      <c r="Y1587" s="1">
        <v>469000</v>
      </c>
      <c r="Z1587" s="5">
        <v>42200</v>
      </c>
      <c r="AA1587" s="1">
        <v>469000</v>
      </c>
      <c r="AB1587" s="1" t="s">
        <v>177</v>
      </c>
      <c r="AC1587" s="5">
        <v>42497</v>
      </c>
      <c r="AF1587" s="1">
        <v>10044</v>
      </c>
      <c r="AJ1587" s="1">
        <v>1975</v>
      </c>
      <c r="AK1587" s="1" t="s">
        <v>86</v>
      </c>
      <c r="AL1587" s="1">
        <v>400</v>
      </c>
    </row>
    <row r="1588" spans="1:38" x14ac:dyDescent="0.2">
      <c r="A1588" s="2" t="str">
        <f>HYPERLINK("https://www.compass.com/listing/575-main-street-unit-701-manhattan-ny-10044/4852288421789441473/","575 Main St, Unit 701")</f>
        <v>575 Main St, Unit 701</v>
      </c>
      <c r="B1588" s="2" t="str">
        <f t="shared" si="244"/>
        <v>Island House</v>
      </c>
      <c r="C1588" s="1" t="s">
        <v>116</v>
      </c>
      <c r="D1588" s="1" t="s">
        <v>41</v>
      </c>
      <c r="E1588" s="3">
        <v>575000</v>
      </c>
      <c r="F1588" s="1">
        <v>716.06475716064699</v>
      </c>
      <c r="G1588" s="1">
        <v>4</v>
      </c>
      <c r="H1588" s="1">
        <v>1</v>
      </c>
      <c r="I1588" s="1">
        <v>1</v>
      </c>
      <c r="J1588" s="1">
        <v>1</v>
      </c>
      <c r="K1588" s="1">
        <v>1</v>
      </c>
      <c r="M1588" s="1">
        <v>803</v>
      </c>
      <c r="N1588" s="1">
        <v>771</v>
      </c>
      <c r="O1588" s="1">
        <v>771</v>
      </c>
      <c r="Q1588" s="1" t="s">
        <v>117</v>
      </c>
      <c r="S1588" s="1" t="s">
        <v>117</v>
      </c>
      <c r="T1588" s="1" t="s">
        <v>153</v>
      </c>
      <c r="U1588" s="1">
        <v>203</v>
      </c>
      <c r="V1588" s="5">
        <v>43672</v>
      </c>
      <c r="W1588" s="5">
        <v>42307</v>
      </c>
      <c r="X1588" s="1">
        <v>575000</v>
      </c>
      <c r="Y1588" s="1">
        <v>575000</v>
      </c>
      <c r="Z1588" s="5">
        <v>42648</v>
      </c>
      <c r="AA1588" s="1">
        <v>575000</v>
      </c>
      <c r="AB1588" s="1" t="s">
        <v>177</v>
      </c>
      <c r="AC1588" s="5">
        <v>42705</v>
      </c>
      <c r="AF1588" s="1">
        <v>10044</v>
      </c>
      <c r="AJ1588" s="1">
        <v>1975</v>
      </c>
      <c r="AK1588" s="1" t="s">
        <v>86</v>
      </c>
      <c r="AL1588" s="1">
        <v>400</v>
      </c>
    </row>
    <row r="1589" spans="1:38" x14ac:dyDescent="0.2">
      <c r="A1589" s="2" t="str">
        <f>HYPERLINK("https://www.compass.com/listing/575-main-street-unit-1311-manhattan-ny-10044/4852326795778732705/","575 Main St, Unit 1311")</f>
        <v>575 Main St, Unit 1311</v>
      </c>
      <c r="B1589" s="2" t="str">
        <f t="shared" si="244"/>
        <v>Island House</v>
      </c>
      <c r="C1589" s="1" t="s">
        <v>116</v>
      </c>
      <c r="D1589" s="1" t="s">
        <v>41</v>
      </c>
      <c r="E1589" s="3">
        <v>415000</v>
      </c>
      <c r="F1589" s="1">
        <v>696.30872483221401</v>
      </c>
      <c r="G1589" s="1">
        <v>2</v>
      </c>
      <c r="H1589" s="1" t="s">
        <v>94</v>
      </c>
      <c r="I1589" s="1">
        <v>1</v>
      </c>
      <c r="J1589" s="1">
        <v>1</v>
      </c>
      <c r="K1589" s="1">
        <v>1</v>
      </c>
      <c r="M1589" s="1">
        <v>596</v>
      </c>
      <c r="N1589" s="1">
        <v>638</v>
      </c>
      <c r="O1589" s="1">
        <v>638</v>
      </c>
      <c r="Q1589" s="1" t="s">
        <v>117</v>
      </c>
      <c r="S1589" s="1" t="s">
        <v>117</v>
      </c>
      <c r="T1589" s="1" t="s">
        <v>153</v>
      </c>
      <c r="U1589" s="1">
        <v>88</v>
      </c>
      <c r="V1589" s="5">
        <v>43678</v>
      </c>
      <c r="W1589" s="5">
        <v>42196</v>
      </c>
      <c r="X1589" s="1">
        <v>415000</v>
      </c>
      <c r="Y1589" s="1">
        <v>415000</v>
      </c>
      <c r="Z1589" s="5">
        <v>42284</v>
      </c>
      <c r="AA1589" s="1">
        <v>415000</v>
      </c>
      <c r="AB1589" s="1" t="s">
        <v>177</v>
      </c>
      <c r="AC1589" s="5">
        <v>42523</v>
      </c>
      <c r="AF1589" s="1">
        <v>10044</v>
      </c>
      <c r="AJ1589" s="1">
        <v>1975</v>
      </c>
      <c r="AK1589" s="1" t="s">
        <v>86</v>
      </c>
      <c r="AL1589" s="1">
        <v>400</v>
      </c>
    </row>
    <row r="1590" spans="1:38" x14ac:dyDescent="0.2">
      <c r="A1590" s="2" t="str">
        <f>HYPERLINK("https://www.compass.com/listing/575-main-street-unit-1711-manhattan-ny-10044/29410524097694001/","575 Main St, Unit 1711")</f>
        <v>575 Main St, Unit 1711</v>
      </c>
      <c r="B1590" s="2" t="str">
        <f t="shared" si="244"/>
        <v>Island House</v>
      </c>
      <c r="C1590" s="1" t="s">
        <v>116</v>
      </c>
      <c r="D1590" s="1" t="s">
        <v>41</v>
      </c>
      <c r="E1590" s="3">
        <v>456000</v>
      </c>
      <c r="G1590" s="1">
        <v>2</v>
      </c>
      <c r="H1590" s="1" t="s">
        <v>94</v>
      </c>
      <c r="I1590" s="1">
        <v>1</v>
      </c>
      <c r="J1590" s="1">
        <v>1</v>
      </c>
      <c r="K1590" s="1">
        <v>1</v>
      </c>
      <c r="N1590" s="1">
        <v>626</v>
      </c>
      <c r="O1590" s="1">
        <v>626</v>
      </c>
      <c r="Q1590" s="1" t="s">
        <v>117</v>
      </c>
      <c r="S1590" s="1" t="s">
        <v>117</v>
      </c>
      <c r="T1590" s="1" t="s">
        <v>153</v>
      </c>
      <c r="U1590" s="1">
        <v>39</v>
      </c>
      <c r="V1590" s="5">
        <v>43649</v>
      </c>
      <c r="W1590" s="5">
        <v>43038</v>
      </c>
      <c r="X1590" s="1">
        <v>489000</v>
      </c>
      <c r="Y1590" s="1">
        <v>469000</v>
      </c>
      <c r="Z1590" s="5">
        <v>43077</v>
      </c>
      <c r="AA1590" s="1">
        <v>456000</v>
      </c>
      <c r="AB1590" s="1" t="s">
        <v>1384</v>
      </c>
      <c r="AC1590" s="5">
        <v>43165</v>
      </c>
      <c r="AF1590" s="1">
        <v>10044</v>
      </c>
      <c r="AJ1590" s="1">
        <v>1975</v>
      </c>
      <c r="AK1590" s="1" t="s">
        <v>86</v>
      </c>
      <c r="AL1590" s="1">
        <v>400</v>
      </c>
    </row>
    <row r="1591" spans="1:38" x14ac:dyDescent="0.2">
      <c r="A1591" s="2" t="str">
        <f>HYPERLINK("https://www.compass.com/listing/575-main-street-unit-1611-manhattan-ny-10044/192574353362170001/","575 Main St, Unit 1611")</f>
        <v>575 Main St, Unit 1611</v>
      </c>
      <c r="B1591" s="2" t="str">
        <f t="shared" si="244"/>
        <v>Island House</v>
      </c>
      <c r="C1591" s="1" t="s">
        <v>116</v>
      </c>
      <c r="D1591" s="1" t="s">
        <v>41</v>
      </c>
      <c r="E1591" s="3">
        <v>440000</v>
      </c>
      <c r="G1591" s="1">
        <v>2</v>
      </c>
      <c r="H1591" s="1" t="s">
        <v>94</v>
      </c>
      <c r="I1591" s="1">
        <v>1</v>
      </c>
      <c r="J1591" s="1">
        <v>1</v>
      </c>
      <c r="K1591" s="1">
        <v>1</v>
      </c>
      <c r="N1591" s="1">
        <v>655</v>
      </c>
      <c r="O1591" s="1">
        <v>655</v>
      </c>
      <c r="Q1591" s="1" t="s">
        <v>117</v>
      </c>
      <c r="S1591" s="1" t="s">
        <v>117</v>
      </c>
      <c r="T1591" s="1" t="s">
        <v>153</v>
      </c>
      <c r="V1591" s="5">
        <v>43673</v>
      </c>
      <c r="W1591" s="5">
        <v>42634</v>
      </c>
      <c r="X1591" s="1">
        <v>440000</v>
      </c>
      <c r="Y1591" s="1">
        <v>440000</v>
      </c>
      <c r="Z1591" s="5">
        <v>42635</v>
      </c>
      <c r="AA1591" s="1">
        <v>440000</v>
      </c>
      <c r="AB1591" s="1" t="s">
        <v>177</v>
      </c>
      <c r="AC1591" s="5">
        <v>42635</v>
      </c>
      <c r="AF1591" s="1">
        <v>10044</v>
      </c>
      <c r="AJ1591" s="1">
        <v>1975</v>
      </c>
      <c r="AK1591" s="1" t="s">
        <v>86</v>
      </c>
      <c r="AL1591" s="1">
        <v>400</v>
      </c>
    </row>
    <row r="1592" spans="1:38" x14ac:dyDescent="0.2">
      <c r="A1592" s="2" t="str">
        <f>HYPERLINK("https://www.compass.com/listing/575-main-street-unit-1711-manhattan-ny-10044/29410524097693985/","575 Main St, Unit 1711")</f>
        <v>575 Main St, Unit 1711</v>
      </c>
      <c r="B1592" s="2" t="str">
        <f t="shared" si="244"/>
        <v>Island House</v>
      </c>
      <c r="C1592" s="1" t="s">
        <v>116</v>
      </c>
      <c r="D1592" s="1" t="s">
        <v>41</v>
      </c>
      <c r="E1592" s="3">
        <v>459000</v>
      </c>
      <c r="F1592" s="1">
        <v>770.13422818791901</v>
      </c>
      <c r="G1592" s="1">
        <v>2</v>
      </c>
      <c r="H1592" s="1" t="s">
        <v>94</v>
      </c>
      <c r="I1592" s="1">
        <v>1</v>
      </c>
      <c r="J1592" s="1">
        <v>1</v>
      </c>
      <c r="K1592" s="1">
        <v>1</v>
      </c>
      <c r="M1592" s="1">
        <v>596</v>
      </c>
      <c r="N1592" s="1">
        <v>626</v>
      </c>
      <c r="O1592" s="1">
        <v>626</v>
      </c>
      <c r="Q1592" s="1" t="s">
        <v>117</v>
      </c>
      <c r="S1592" s="1" t="s">
        <v>117</v>
      </c>
      <c r="T1592" s="1" t="s">
        <v>153</v>
      </c>
      <c r="U1592" s="1">
        <v>232</v>
      </c>
      <c r="V1592" s="5">
        <v>43675</v>
      </c>
      <c r="W1592" s="5">
        <v>42320</v>
      </c>
      <c r="X1592" s="1">
        <v>459000</v>
      </c>
      <c r="Y1592" s="1">
        <v>459000</v>
      </c>
      <c r="Z1592" s="5">
        <v>42552</v>
      </c>
      <c r="AA1592" s="1">
        <v>459000</v>
      </c>
      <c r="AB1592" s="1" t="s">
        <v>177</v>
      </c>
      <c r="AC1592" s="5">
        <v>42571</v>
      </c>
      <c r="AF1592" s="1">
        <v>10044</v>
      </c>
      <c r="AJ1592" s="1">
        <v>1975</v>
      </c>
      <c r="AK1592" s="1" t="s">
        <v>86</v>
      </c>
      <c r="AL1592" s="1">
        <v>400</v>
      </c>
    </row>
    <row r="1593" spans="1:38" x14ac:dyDescent="0.2">
      <c r="A1593" s="2" t="str">
        <f>HYPERLINK("https://www.compass.com/listing/575-main-street-unit-1811-manhattan-ny-10044/70923373672152017/","575 Main St, Unit 1811")</f>
        <v>575 Main St, Unit 1811</v>
      </c>
      <c r="B1593" s="2" t="str">
        <f t="shared" si="244"/>
        <v>Island House</v>
      </c>
      <c r="C1593" s="1" t="s">
        <v>116</v>
      </c>
      <c r="D1593" s="1" t="s">
        <v>41</v>
      </c>
      <c r="E1593" s="3">
        <v>392900</v>
      </c>
      <c r="F1593" s="1">
        <v>659.22818791946304</v>
      </c>
      <c r="G1593" s="1">
        <v>2</v>
      </c>
      <c r="H1593" s="1" t="s">
        <v>94</v>
      </c>
      <c r="I1593" s="1">
        <v>1</v>
      </c>
      <c r="J1593" s="1">
        <v>1</v>
      </c>
      <c r="K1593" s="1">
        <v>1</v>
      </c>
      <c r="M1593" s="1">
        <v>596</v>
      </c>
      <c r="N1593" s="1">
        <v>665</v>
      </c>
      <c r="O1593" s="1">
        <v>665</v>
      </c>
      <c r="Q1593" s="1" t="s">
        <v>117</v>
      </c>
      <c r="S1593" s="1" t="s">
        <v>117</v>
      </c>
      <c r="T1593" s="1" t="s">
        <v>153</v>
      </c>
      <c r="U1593" s="1">
        <v>48</v>
      </c>
      <c r="V1593" s="5">
        <v>43665</v>
      </c>
      <c r="W1593" s="5">
        <v>42152</v>
      </c>
      <c r="X1593" s="1">
        <v>392900</v>
      </c>
      <c r="Y1593" s="1">
        <v>392900</v>
      </c>
      <c r="Z1593" s="5">
        <v>42200</v>
      </c>
      <c r="AA1593" s="1">
        <v>392900</v>
      </c>
      <c r="AB1593" s="1" t="s">
        <v>177</v>
      </c>
      <c r="AC1593" s="5">
        <v>42468</v>
      </c>
      <c r="AF1593" s="1">
        <v>10044</v>
      </c>
      <c r="AJ1593" s="1">
        <v>1975</v>
      </c>
      <c r="AK1593" s="1" t="s">
        <v>86</v>
      </c>
      <c r="AL1593" s="1">
        <v>400</v>
      </c>
    </row>
    <row r="1594" spans="1:38" x14ac:dyDescent="0.2">
      <c r="A1594" s="2" t="str">
        <f>HYPERLINK("https://www.compass.com/listing/575-main-street-unit-911-manhattan-ny-10044/4852288440017886993/","575 Main St, Unit 911")</f>
        <v>575 Main St, Unit 911</v>
      </c>
      <c r="B1594" s="2" t="str">
        <f t="shared" si="244"/>
        <v>Island House</v>
      </c>
      <c r="C1594" s="1" t="s">
        <v>116</v>
      </c>
      <c r="D1594" s="1" t="s">
        <v>41</v>
      </c>
      <c r="E1594" s="3">
        <v>354000</v>
      </c>
      <c r="F1594" s="1">
        <v>593.959731543624</v>
      </c>
      <c r="G1594" s="1">
        <v>2</v>
      </c>
      <c r="H1594" s="1" t="s">
        <v>94</v>
      </c>
      <c r="I1594" s="1">
        <v>1</v>
      </c>
      <c r="J1594" s="1">
        <v>1</v>
      </c>
      <c r="K1594" s="1">
        <v>1</v>
      </c>
      <c r="M1594" s="1">
        <v>596</v>
      </c>
      <c r="N1594" s="1">
        <v>526</v>
      </c>
      <c r="O1594" s="1">
        <v>526</v>
      </c>
      <c r="Q1594" s="1" t="s">
        <v>117</v>
      </c>
      <c r="S1594" s="1" t="s">
        <v>117</v>
      </c>
      <c r="T1594" s="1" t="s">
        <v>153</v>
      </c>
      <c r="U1594" s="1">
        <v>69</v>
      </c>
      <c r="V1594" s="5">
        <v>43675</v>
      </c>
      <c r="W1594" s="5">
        <v>42175</v>
      </c>
      <c r="X1594" s="1">
        <v>354000</v>
      </c>
      <c r="Y1594" s="1">
        <v>354000</v>
      </c>
      <c r="Z1594" s="5">
        <v>42399</v>
      </c>
      <c r="AA1594" s="1">
        <v>354000</v>
      </c>
      <c r="AB1594" s="1" t="s">
        <v>177</v>
      </c>
      <c r="AC1594" s="5">
        <v>42572</v>
      </c>
      <c r="AF1594" s="1">
        <v>10044</v>
      </c>
      <c r="AJ1594" s="1">
        <v>1975</v>
      </c>
      <c r="AK1594" s="1" t="s">
        <v>86</v>
      </c>
      <c r="AL1594" s="1">
        <v>400</v>
      </c>
    </row>
    <row r="1595" spans="1:38" x14ac:dyDescent="0.2">
      <c r="A1595" s="2" t="str">
        <f>HYPERLINK("https://www.compass.com/listing/1325-5th-avenue-unit-2i-manhattan-ny-10029/244220797403570225/","1325 5th Ave, Unit 2I")</f>
        <v>1325 5th Ave, Unit 2I</v>
      </c>
      <c r="B1595" s="2" t="str">
        <f t="shared" ref="B1595:B1596" si="245">HYPERLINK("https://www.compass.com/building/the-fifth-avenue-manhattan-ny/294843719022876805/","The Fifth Avenue")</f>
        <v>The Fifth Avenue</v>
      </c>
      <c r="C1595" s="1" t="s">
        <v>226</v>
      </c>
      <c r="D1595" s="1" t="s">
        <v>41</v>
      </c>
      <c r="E1595" s="3">
        <v>712775</v>
      </c>
      <c r="F1595" s="1">
        <v>1103.3668730650099</v>
      </c>
      <c r="G1595" s="1">
        <v>3</v>
      </c>
      <c r="H1595" s="1">
        <v>1</v>
      </c>
      <c r="I1595" s="1">
        <v>1</v>
      </c>
      <c r="J1595" s="1">
        <v>1</v>
      </c>
      <c r="K1595" s="1">
        <v>1</v>
      </c>
      <c r="M1595" s="1">
        <v>646</v>
      </c>
      <c r="N1595" s="1">
        <v>623.98</v>
      </c>
      <c r="O1595" s="1">
        <v>970.5</v>
      </c>
      <c r="P1595" s="1">
        <v>346.5</v>
      </c>
      <c r="Q1595" s="1" t="s">
        <v>42</v>
      </c>
      <c r="S1595" s="1" t="s">
        <v>42</v>
      </c>
      <c r="T1595" s="1" t="s">
        <v>153</v>
      </c>
      <c r="U1595" s="1">
        <v>133</v>
      </c>
      <c r="V1595" s="5">
        <v>43864</v>
      </c>
      <c r="W1595" s="5">
        <v>43589</v>
      </c>
      <c r="X1595" s="1">
        <v>700000</v>
      </c>
      <c r="Y1595" s="1">
        <v>700000</v>
      </c>
      <c r="Z1595" s="5">
        <v>43722</v>
      </c>
      <c r="AA1595" s="1">
        <v>712775</v>
      </c>
      <c r="AB1595" s="1" t="s">
        <v>1385</v>
      </c>
      <c r="AC1595" s="5">
        <v>43851</v>
      </c>
      <c r="AF1595" s="1">
        <v>10029</v>
      </c>
      <c r="AI1595" s="1" t="s">
        <v>113</v>
      </c>
      <c r="AJ1595" s="1">
        <v>1989</v>
      </c>
      <c r="AK1595" s="1" t="s">
        <v>46</v>
      </c>
      <c r="AL1595" s="1">
        <v>71</v>
      </c>
    </row>
    <row r="1596" spans="1:38" x14ac:dyDescent="0.2">
      <c r="A1596" s="2" t="str">
        <f>HYPERLINK("https://www.compass.com/listing/1325-5th-avenue-unit-4g-manhattan-ny-10029/340540360354320897/","1325 5th Ave, Unit 4G")</f>
        <v>1325 5th Ave, Unit 4G</v>
      </c>
      <c r="B1596" s="2" t="str">
        <f t="shared" si="245"/>
        <v>The Fifth Avenue</v>
      </c>
      <c r="C1596" s="1" t="s">
        <v>226</v>
      </c>
      <c r="D1596" s="1" t="s">
        <v>41</v>
      </c>
      <c r="E1596" s="3">
        <v>685000</v>
      </c>
      <c r="F1596" s="1">
        <v>1022.38805970149</v>
      </c>
      <c r="G1596" s="1">
        <v>3</v>
      </c>
      <c r="H1596" s="1">
        <v>1</v>
      </c>
      <c r="I1596" s="1">
        <v>1</v>
      </c>
      <c r="J1596" s="1">
        <v>1</v>
      </c>
      <c r="K1596" s="1">
        <v>1</v>
      </c>
      <c r="M1596" s="1">
        <v>670</v>
      </c>
      <c r="N1596" s="1">
        <v>746.07</v>
      </c>
      <c r="O1596" s="1">
        <v>1145.46</v>
      </c>
      <c r="P1596" s="1">
        <v>399.416666666666</v>
      </c>
      <c r="Q1596" s="1" t="s">
        <v>42</v>
      </c>
      <c r="S1596" s="1" t="s">
        <v>42</v>
      </c>
      <c r="T1596" s="1" t="s">
        <v>153</v>
      </c>
      <c r="U1596" s="1">
        <v>189</v>
      </c>
      <c r="V1596" s="5">
        <v>44351</v>
      </c>
      <c r="W1596" s="5">
        <v>43721</v>
      </c>
      <c r="X1596" s="1">
        <v>735000</v>
      </c>
      <c r="Y1596" s="1">
        <v>690000</v>
      </c>
      <c r="Z1596" s="5">
        <v>44222</v>
      </c>
      <c r="AA1596" s="1">
        <v>685000</v>
      </c>
      <c r="AB1596" s="1" t="s">
        <v>1386</v>
      </c>
      <c r="AC1596" s="5">
        <v>44330</v>
      </c>
      <c r="AF1596" s="1">
        <v>10029</v>
      </c>
      <c r="AI1596" s="1" t="s">
        <v>113</v>
      </c>
      <c r="AJ1596" s="1">
        <v>1989</v>
      </c>
      <c r="AK1596" s="1" t="s">
        <v>46</v>
      </c>
      <c r="AL1596" s="1">
        <v>71</v>
      </c>
    </row>
    <row r="1597" spans="1:38" x14ac:dyDescent="0.2">
      <c r="A1597" s="2" t="str">
        <f>HYPERLINK("https://www.compass.com/listing/575-main-street-unit-1701-manhattan-ny-10044/4852269449417330337/","575 Main St, Unit 1701")</f>
        <v>575 Main St, Unit 1701</v>
      </c>
      <c r="B1597" s="2" t="str">
        <f t="shared" ref="B1597:B1599" si="246">HYPERLINK("https://www.compass.com/building/island-house-manhattan-ny/282065365649887429/","Island House")</f>
        <v>Island House</v>
      </c>
      <c r="C1597" s="1" t="s">
        <v>116</v>
      </c>
      <c r="D1597" s="1" t="s">
        <v>41</v>
      </c>
      <c r="E1597" s="3">
        <v>655000</v>
      </c>
      <c r="F1597" s="1">
        <v>815.691158156911</v>
      </c>
      <c r="G1597" s="1">
        <v>4</v>
      </c>
      <c r="H1597" s="1">
        <v>1</v>
      </c>
      <c r="I1597" s="1">
        <v>1</v>
      </c>
      <c r="J1597" s="1">
        <v>1</v>
      </c>
      <c r="K1597" s="1">
        <v>1</v>
      </c>
      <c r="M1597" s="1">
        <v>803</v>
      </c>
      <c r="N1597" s="1">
        <v>923</v>
      </c>
      <c r="O1597" s="1">
        <v>923</v>
      </c>
      <c r="Q1597" s="1" t="s">
        <v>117</v>
      </c>
      <c r="S1597" s="1" t="s">
        <v>117</v>
      </c>
      <c r="T1597" s="1" t="s">
        <v>153</v>
      </c>
      <c r="U1597" s="1">
        <v>30</v>
      </c>
      <c r="V1597" s="5">
        <v>43668</v>
      </c>
      <c r="W1597" s="5">
        <v>42712</v>
      </c>
      <c r="X1597" s="1">
        <v>655000</v>
      </c>
      <c r="Y1597" s="1">
        <v>655000</v>
      </c>
      <c r="Z1597" s="5">
        <v>42742</v>
      </c>
      <c r="AA1597" s="1">
        <v>655000</v>
      </c>
      <c r="AB1597" s="1" t="s">
        <v>177</v>
      </c>
      <c r="AC1597" s="5">
        <v>42844</v>
      </c>
      <c r="AF1597" s="1">
        <v>10044</v>
      </c>
      <c r="AJ1597" s="1">
        <v>1975</v>
      </c>
      <c r="AK1597" s="1" t="s">
        <v>86</v>
      </c>
      <c r="AL1597" s="1">
        <v>400</v>
      </c>
    </row>
    <row r="1598" spans="1:38" x14ac:dyDescent="0.2">
      <c r="A1598" s="2" t="str">
        <f>HYPERLINK("https://www.compass.com/listing/575-main-street-unit-1508-manhattan-ny-10044/4852275084993246513/","575 Main St, Unit 1508")</f>
        <v>575 Main St, Unit 1508</v>
      </c>
      <c r="B1598" s="2" t="str">
        <f t="shared" si="246"/>
        <v>Island House</v>
      </c>
      <c r="C1598" s="1" t="s">
        <v>116</v>
      </c>
      <c r="D1598" s="1" t="s">
        <v>41</v>
      </c>
      <c r="E1598" s="3">
        <v>615000</v>
      </c>
      <c r="F1598" s="1">
        <v>765.877957658779</v>
      </c>
      <c r="G1598" s="1">
        <v>4</v>
      </c>
      <c r="H1598" s="1">
        <v>1</v>
      </c>
      <c r="I1598" s="1">
        <v>1</v>
      </c>
      <c r="J1598" s="1">
        <v>1</v>
      </c>
      <c r="K1598" s="1">
        <v>1</v>
      </c>
      <c r="M1598" s="1">
        <v>803</v>
      </c>
      <c r="N1598" s="1">
        <v>908</v>
      </c>
      <c r="O1598" s="1">
        <v>908</v>
      </c>
      <c r="Q1598" s="1" t="s">
        <v>117</v>
      </c>
      <c r="S1598" s="1" t="s">
        <v>117</v>
      </c>
      <c r="T1598" s="1" t="s">
        <v>153</v>
      </c>
      <c r="U1598" s="1">
        <v>156</v>
      </c>
      <c r="V1598" s="5">
        <v>43668</v>
      </c>
      <c r="W1598" s="5">
        <v>42712</v>
      </c>
      <c r="X1598" s="1">
        <v>615000</v>
      </c>
      <c r="Y1598" s="1">
        <v>615000</v>
      </c>
      <c r="Z1598" s="5">
        <v>42868</v>
      </c>
      <c r="AA1598" s="1">
        <v>615000</v>
      </c>
      <c r="AB1598" s="1" t="s">
        <v>177</v>
      </c>
      <c r="AC1598" s="5">
        <v>42914</v>
      </c>
      <c r="AF1598" s="1">
        <v>10044</v>
      </c>
      <c r="AJ1598" s="1">
        <v>1975</v>
      </c>
      <c r="AK1598" s="1" t="s">
        <v>86</v>
      </c>
      <c r="AL1598" s="1">
        <v>400</v>
      </c>
    </row>
    <row r="1599" spans="1:38" x14ac:dyDescent="0.2">
      <c r="A1599" s="2" t="str">
        <f>HYPERLINK("https://www.compass.com/listing/575-main-street-unit-1208-manhattan-ny-10044/4852275287267752593/","575 Main St, Unit 1208")</f>
        <v>575 Main St, Unit 1208</v>
      </c>
      <c r="B1599" s="2" t="str">
        <f t="shared" si="246"/>
        <v>Island House</v>
      </c>
      <c r="C1599" s="1" t="s">
        <v>116</v>
      </c>
      <c r="D1599" s="1" t="s">
        <v>41</v>
      </c>
      <c r="E1599" s="3">
        <v>660225</v>
      </c>
      <c r="F1599" s="1">
        <v>822.19800747197996</v>
      </c>
      <c r="G1599" s="1">
        <v>4</v>
      </c>
      <c r="H1599" s="1">
        <v>1</v>
      </c>
      <c r="I1599" s="1">
        <v>1</v>
      </c>
      <c r="J1599" s="1">
        <v>1</v>
      </c>
      <c r="K1599" s="1">
        <v>1</v>
      </c>
      <c r="M1599" s="1">
        <v>803</v>
      </c>
      <c r="N1599" s="1">
        <v>807</v>
      </c>
      <c r="O1599" s="1">
        <v>807</v>
      </c>
      <c r="Q1599" s="1" t="s">
        <v>117</v>
      </c>
      <c r="S1599" s="1" t="s">
        <v>117</v>
      </c>
      <c r="T1599" s="1" t="s">
        <v>153</v>
      </c>
      <c r="U1599" s="1">
        <v>130</v>
      </c>
      <c r="V1599" s="5">
        <v>43665</v>
      </c>
      <c r="W1599" s="5">
        <v>42717</v>
      </c>
      <c r="X1599" s="1">
        <v>605000</v>
      </c>
      <c r="Y1599" s="1">
        <v>605000</v>
      </c>
      <c r="Z1599" s="5">
        <v>42847</v>
      </c>
      <c r="AA1599" s="1">
        <v>660225</v>
      </c>
      <c r="AB1599" s="1" t="s">
        <v>177</v>
      </c>
      <c r="AC1599" s="5">
        <v>42906</v>
      </c>
      <c r="AF1599" s="1">
        <v>10044</v>
      </c>
      <c r="AJ1599" s="1">
        <v>1975</v>
      </c>
      <c r="AK1599" s="1" t="s">
        <v>86</v>
      </c>
      <c r="AL1599" s="1">
        <v>400</v>
      </c>
    </row>
    <row r="1600" spans="1:38" x14ac:dyDescent="0.2">
      <c r="A1600" s="2" t="str">
        <f>HYPERLINK("https://www.compass.com/listing/1325-5th-avenue-unit-5e-manhattan-ny-10029/176805924382546129/","1325 5th Ave, Unit 5E")</f>
        <v>1325 5th Ave, Unit 5E</v>
      </c>
      <c r="B1600" s="2" t="str">
        <f>HYPERLINK("https://www.compass.com/building/the-fifth-avenue-manhattan-ny/294843719022876805/","The Fifth Avenue")</f>
        <v>The Fifth Avenue</v>
      </c>
      <c r="C1600" s="1" t="s">
        <v>226</v>
      </c>
      <c r="D1600" s="1" t="s">
        <v>41</v>
      </c>
      <c r="E1600" s="3">
        <v>695000</v>
      </c>
      <c r="F1600" s="1">
        <v>1080.87091757387</v>
      </c>
      <c r="G1600" s="1">
        <v>3</v>
      </c>
      <c r="H1600" s="1">
        <v>1</v>
      </c>
      <c r="I1600" s="1">
        <v>1</v>
      </c>
      <c r="J1600" s="1">
        <v>1</v>
      </c>
      <c r="K1600" s="1">
        <v>1</v>
      </c>
      <c r="M1600" s="1">
        <v>643</v>
      </c>
      <c r="N1600" s="1">
        <v>724.6</v>
      </c>
      <c r="O1600" s="1">
        <v>1127</v>
      </c>
      <c r="P1600" s="1">
        <v>402.416666666666</v>
      </c>
      <c r="Q1600" s="1" t="s">
        <v>42</v>
      </c>
      <c r="S1600" s="1" t="s">
        <v>42</v>
      </c>
      <c r="T1600" s="1" t="s">
        <v>153</v>
      </c>
      <c r="U1600" s="1">
        <v>120</v>
      </c>
      <c r="V1600" s="5">
        <v>43878</v>
      </c>
      <c r="W1600" s="5">
        <v>43496</v>
      </c>
      <c r="X1600" s="1">
        <v>755000</v>
      </c>
      <c r="Y1600" s="1">
        <v>730000</v>
      </c>
      <c r="Z1600" s="5">
        <v>43616</v>
      </c>
      <c r="AA1600" s="1">
        <v>695000</v>
      </c>
      <c r="AB1600" s="1" t="s">
        <v>1387</v>
      </c>
      <c r="AC1600" s="5">
        <v>43865</v>
      </c>
      <c r="AF1600" s="1">
        <v>10029</v>
      </c>
      <c r="AI1600" s="1" t="s">
        <v>113</v>
      </c>
      <c r="AJ1600" s="1">
        <v>1989</v>
      </c>
      <c r="AK1600" s="1" t="s">
        <v>49</v>
      </c>
      <c r="AL1600" s="1">
        <v>71</v>
      </c>
    </row>
    <row r="1601" spans="1:38" x14ac:dyDescent="0.2">
      <c r="A1601" s="2" t="str">
        <f>HYPERLINK("https://www.compass.com/listing/575-main-street-unit-1101-manhattan-ny-10044/206520505606401697/","575 Main St, Unit 1101")</f>
        <v>575 Main St, Unit 1101</v>
      </c>
      <c r="B1601" s="2" t="str">
        <f>HYPERLINK("https://www.compass.com/building/island-house-manhattan-ny/282065365649887429/","Island House")</f>
        <v>Island House</v>
      </c>
      <c r="C1601" s="1" t="s">
        <v>116</v>
      </c>
      <c r="D1601" s="1" t="s">
        <v>41</v>
      </c>
      <c r="E1601" s="3">
        <v>615000</v>
      </c>
      <c r="F1601" s="1">
        <v>765.877957658779</v>
      </c>
      <c r="G1601" s="1">
        <v>3</v>
      </c>
      <c r="H1601" s="1">
        <v>1</v>
      </c>
      <c r="I1601" s="1">
        <v>1</v>
      </c>
      <c r="J1601" s="1">
        <v>1</v>
      </c>
      <c r="K1601" s="1">
        <v>1</v>
      </c>
      <c r="M1601" s="1">
        <v>803</v>
      </c>
      <c r="N1601" s="1">
        <v>791</v>
      </c>
      <c r="O1601" s="1">
        <v>791</v>
      </c>
      <c r="Q1601" s="1" t="s">
        <v>117</v>
      </c>
      <c r="S1601" s="1" t="s">
        <v>117</v>
      </c>
      <c r="T1601" s="1" t="s">
        <v>153</v>
      </c>
      <c r="V1601" s="5">
        <v>43664</v>
      </c>
      <c r="W1601" s="5">
        <v>42588</v>
      </c>
      <c r="X1601" s="1">
        <v>615000</v>
      </c>
      <c r="Y1601" s="1">
        <v>615000</v>
      </c>
      <c r="Z1601" s="5">
        <v>42588</v>
      </c>
      <c r="AA1601" s="1">
        <v>615000</v>
      </c>
      <c r="AB1601" s="1" t="s">
        <v>177</v>
      </c>
      <c r="AC1601" s="5">
        <v>42775</v>
      </c>
      <c r="AF1601" s="1">
        <v>10044</v>
      </c>
      <c r="AJ1601" s="1">
        <v>1975</v>
      </c>
      <c r="AK1601" s="1" t="s">
        <v>86</v>
      </c>
      <c r="AL1601" s="1">
        <v>400</v>
      </c>
    </row>
    <row r="1602" spans="1:38" x14ac:dyDescent="0.2">
      <c r="A1602" s="2" t="str">
        <f>HYPERLINK("https://www.compass.com/listing/1325-5th-avenue-unit-4b-manhattan-ny-10029/135267858937618241/","1325 5th Ave, Unit 4B")</f>
        <v>1325 5th Ave, Unit 4B</v>
      </c>
      <c r="B1602" s="2" t="str">
        <f t="shared" ref="B1602:B1603" si="247">HYPERLINK("https://www.compass.com/building/the-fifth-avenue-manhattan-ny/294843719022876805/","The Fifth Avenue")</f>
        <v>The Fifth Avenue</v>
      </c>
      <c r="C1602" s="1" t="s">
        <v>226</v>
      </c>
      <c r="D1602" s="1" t="s">
        <v>41</v>
      </c>
      <c r="E1602" s="3">
        <v>862967</v>
      </c>
      <c r="F1602" s="1">
        <v>781.67289855072397</v>
      </c>
      <c r="G1602" s="1">
        <v>4</v>
      </c>
      <c r="H1602" s="1">
        <v>2</v>
      </c>
      <c r="I1602" s="1">
        <v>2</v>
      </c>
      <c r="J1602" s="1">
        <v>2</v>
      </c>
      <c r="K1602" s="1">
        <v>2</v>
      </c>
      <c r="M1602" s="4">
        <v>1104</v>
      </c>
      <c r="N1602" s="1">
        <v>1184.8499999999999</v>
      </c>
      <c r="O1602" s="1">
        <v>1842.85</v>
      </c>
      <c r="P1602" s="1">
        <v>658</v>
      </c>
      <c r="Q1602" s="1" t="s">
        <v>42</v>
      </c>
      <c r="S1602" s="1" t="s">
        <v>42</v>
      </c>
      <c r="T1602" s="1" t="s">
        <v>153</v>
      </c>
      <c r="V1602" s="5">
        <v>43857</v>
      </c>
      <c r="W1602" s="5">
        <v>43437</v>
      </c>
      <c r="X1602" s="1">
        <v>1130000</v>
      </c>
      <c r="Y1602" s="1">
        <v>1130000</v>
      </c>
      <c r="Z1602" s="5">
        <v>43437</v>
      </c>
      <c r="AA1602" s="1">
        <v>862966.88</v>
      </c>
      <c r="AB1602" s="1" t="s">
        <v>1388</v>
      </c>
      <c r="AC1602" s="5">
        <v>43843</v>
      </c>
      <c r="AF1602" s="1">
        <v>10029</v>
      </c>
      <c r="AI1602" s="1" t="s">
        <v>51</v>
      </c>
      <c r="AJ1602" s="1">
        <v>1989</v>
      </c>
      <c r="AK1602" s="1" t="s">
        <v>49</v>
      </c>
      <c r="AL1602" s="1">
        <v>71</v>
      </c>
    </row>
    <row r="1603" spans="1:38" x14ac:dyDescent="0.2">
      <c r="A1603" s="2" t="str">
        <f>HYPERLINK("https://www.compass.com/listing/1325-5th-avenue-unit-4i-manhattan-ny-10029/44768557485121201/","1325 5th Ave, Unit 4I")</f>
        <v>1325 5th Ave, Unit 4I</v>
      </c>
      <c r="B1603" s="2" t="str">
        <f t="shared" si="247"/>
        <v>The Fifth Avenue</v>
      </c>
      <c r="C1603" s="1" t="s">
        <v>226</v>
      </c>
      <c r="D1603" s="1" t="s">
        <v>41</v>
      </c>
      <c r="E1603" s="3">
        <v>722958</v>
      </c>
      <c r="F1603" s="1">
        <v>1119.1292569659399</v>
      </c>
      <c r="G1603" s="1">
        <v>3</v>
      </c>
      <c r="H1603" s="1">
        <v>1</v>
      </c>
      <c r="I1603" s="1">
        <v>1</v>
      </c>
      <c r="J1603" s="1">
        <v>1</v>
      </c>
      <c r="K1603" s="1">
        <v>1</v>
      </c>
      <c r="M1603" s="1">
        <v>646</v>
      </c>
      <c r="N1603" s="1">
        <v>693.31</v>
      </c>
      <c r="O1603" s="1">
        <v>1078.33</v>
      </c>
      <c r="P1603" s="1">
        <v>385</v>
      </c>
      <c r="Q1603" s="1" t="s">
        <v>42</v>
      </c>
      <c r="S1603" s="1" t="s">
        <v>42</v>
      </c>
      <c r="T1603" s="1" t="s">
        <v>153</v>
      </c>
      <c r="U1603" s="1">
        <v>185</v>
      </c>
      <c r="V1603" s="5">
        <v>43887</v>
      </c>
      <c r="W1603" s="5">
        <v>43313</v>
      </c>
      <c r="X1603" s="1">
        <v>750000</v>
      </c>
      <c r="Y1603" s="1">
        <v>715000</v>
      </c>
      <c r="Z1603" s="5">
        <v>43721</v>
      </c>
      <c r="AA1603" s="1">
        <v>722957.5</v>
      </c>
      <c r="AB1603" s="1" t="s">
        <v>1389</v>
      </c>
      <c r="AC1603" s="5">
        <v>43881</v>
      </c>
      <c r="AF1603" s="1">
        <v>10029</v>
      </c>
      <c r="AI1603" s="1" t="s">
        <v>113</v>
      </c>
      <c r="AJ1603" s="1">
        <v>1989</v>
      </c>
      <c r="AK1603" s="1" t="s">
        <v>46</v>
      </c>
      <c r="AL1603" s="1">
        <v>71</v>
      </c>
    </row>
    <row r="1604" spans="1:38" x14ac:dyDescent="0.2">
      <c r="A1604" s="2" t="str">
        <f>HYPERLINK("https://www.compass.com/listing/575-main-street-unit-1108-manhattan-ny-10044/4852307314520109633/","575 Main St, Unit 1108")</f>
        <v>575 Main St, Unit 1108</v>
      </c>
      <c r="B1604" s="2" t="str">
        <f>HYPERLINK("https://www.compass.com/building/island-house-manhattan-ny/282065365649887429/","Island House")</f>
        <v>Island House</v>
      </c>
      <c r="C1604" s="1" t="s">
        <v>116</v>
      </c>
      <c r="D1604" s="1" t="s">
        <v>41</v>
      </c>
      <c r="E1604" s="3">
        <v>595000</v>
      </c>
      <c r="F1604" s="1">
        <v>740.97135740971305</v>
      </c>
      <c r="G1604" s="1">
        <v>3</v>
      </c>
      <c r="H1604" s="1">
        <v>1</v>
      </c>
      <c r="I1604" s="1">
        <v>1</v>
      </c>
      <c r="J1604" s="1">
        <v>1</v>
      </c>
      <c r="K1604" s="1">
        <v>1</v>
      </c>
      <c r="M1604" s="1">
        <v>803</v>
      </c>
      <c r="N1604" s="1">
        <v>791</v>
      </c>
      <c r="O1604" s="1">
        <v>791</v>
      </c>
      <c r="Q1604" s="1" t="s">
        <v>117</v>
      </c>
      <c r="S1604" s="1" t="s">
        <v>117</v>
      </c>
      <c r="T1604" s="1" t="s">
        <v>153</v>
      </c>
      <c r="U1604" s="1">
        <v>50</v>
      </c>
      <c r="V1604" s="5">
        <v>43664</v>
      </c>
      <c r="W1604" s="5">
        <v>42564</v>
      </c>
      <c r="X1604" s="1">
        <v>595000</v>
      </c>
      <c r="Y1604" s="1">
        <v>595000</v>
      </c>
      <c r="Z1604" s="5">
        <v>42614</v>
      </c>
      <c r="AA1604" s="1">
        <v>595000</v>
      </c>
      <c r="AB1604" s="1" t="s">
        <v>177</v>
      </c>
      <c r="AC1604" s="5">
        <v>42742</v>
      </c>
      <c r="AF1604" s="1">
        <v>10044</v>
      </c>
      <c r="AJ1604" s="1">
        <v>1975</v>
      </c>
      <c r="AK1604" s="1" t="s">
        <v>86</v>
      </c>
      <c r="AL1604" s="1">
        <v>400</v>
      </c>
    </row>
    <row r="1605" spans="1:38" x14ac:dyDescent="0.2">
      <c r="A1605" s="2" t="str">
        <f>HYPERLINK("https://www.compass.com/listing/1325-5th-avenue-unit-3k-manhattan-ny-10029/543438163589354617/","1325 5th Ave, Unit 3K")</f>
        <v>1325 5th Ave, Unit 3K</v>
      </c>
      <c r="B1605" s="2" t="str">
        <f t="shared" ref="B1605:B1607" si="248">HYPERLINK("https://www.compass.com/building/the-fifth-avenue-manhattan-ny/294843719022876805/","The Fifth Avenue")</f>
        <v>The Fifth Avenue</v>
      </c>
      <c r="C1605" s="1" t="s">
        <v>226</v>
      </c>
      <c r="D1605" s="1" t="s">
        <v>41</v>
      </c>
      <c r="E1605" s="3">
        <v>1275000</v>
      </c>
      <c r="F1605" s="1">
        <v>956.48912228056997</v>
      </c>
      <c r="G1605" s="1">
        <v>5</v>
      </c>
      <c r="H1605" s="1">
        <v>3</v>
      </c>
      <c r="I1605" s="1">
        <v>2</v>
      </c>
      <c r="J1605" s="1">
        <v>2</v>
      </c>
      <c r="K1605" s="1">
        <v>2</v>
      </c>
      <c r="M1605" s="4">
        <v>1333</v>
      </c>
      <c r="N1605" s="1">
        <v>1359.09</v>
      </c>
      <c r="O1605" s="1">
        <v>2114.09</v>
      </c>
      <c r="P1605" s="1">
        <v>755</v>
      </c>
      <c r="Q1605" s="1" t="s">
        <v>42</v>
      </c>
      <c r="S1605" s="1" t="s">
        <v>42</v>
      </c>
      <c r="T1605" s="1" t="s">
        <v>153</v>
      </c>
      <c r="U1605" s="1">
        <v>119</v>
      </c>
      <c r="V1605" s="5">
        <v>44180</v>
      </c>
      <c r="W1605" s="5">
        <v>44001</v>
      </c>
      <c r="X1605" s="1">
        <v>1395000</v>
      </c>
      <c r="Y1605" s="1">
        <v>1345000</v>
      </c>
      <c r="Z1605" s="5">
        <v>44123</v>
      </c>
      <c r="AA1605" s="1">
        <v>1275000</v>
      </c>
      <c r="AB1605" s="1" t="s">
        <v>1390</v>
      </c>
      <c r="AC1605" s="5">
        <v>44169</v>
      </c>
      <c r="AF1605" s="1">
        <v>10029</v>
      </c>
      <c r="AI1605" s="1" t="s">
        <v>113</v>
      </c>
      <c r="AJ1605" s="1">
        <v>1989</v>
      </c>
      <c r="AK1605" s="1" t="s">
        <v>46</v>
      </c>
      <c r="AL1605" s="1">
        <v>71</v>
      </c>
    </row>
    <row r="1606" spans="1:38" x14ac:dyDescent="0.2">
      <c r="A1606" s="2" t="str">
        <f>HYPERLINK("https://www.compass.com/listing/1325-5th-avenue-unit-5m-manhattan-ny-10029/131621421913811937/","1325 5th Ave, Unit 5M")</f>
        <v>1325 5th Ave, Unit 5M</v>
      </c>
      <c r="B1606" s="2" t="str">
        <f t="shared" si="248"/>
        <v>The Fifth Avenue</v>
      </c>
      <c r="C1606" s="1" t="s">
        <v>226</v>
      </c>
      <c r="D1606" s="1" t="s">
        <v>41</v>
      </c>
      <c r="E1606" s="3">
        <v>733140</v>
      </c>
      <c r="F1606" s="1">
        <v>1081.32743362831</v>
      </c>
      <c r="G1606" s="1">
        <v>3</v>
      </c>
      <c r="H1606" s="1">
        <v>1</v>
      </c>
      <c r="I1606" s="1">
        <v>1</v>
      </c>
      <c r="J1606" s="1">
        <v>1</v>
      </c>
      <c r="K1606" s="1">
        <v>1</v>
      </c>
      <c r="M1606" s="1">
        <v>678</v>
      </c>
      <c r="N1606" s="1">
        <v>764.04</v>
      </c>
      <c r="O1606" s="1">
        <v>1188.3399999999999</v>
      </c>
      <c r="P1606" s="1">
        <v>424.33333333333297</v>
      </c>
      <c r="Q1606" s="1" t="s">
        <v>42</v>
      </c>
      <c r="S1606" s="1" t="s">
        <v>42</v>
      </c>
      <c r="T1606" s="1" t="s">
        <v>153</v>
      </c>
      <c r="V1606" s="5">
        <v>43892</v>
      </c>
      <c r="W1606" s="5">
        <v>43432</v>
      </c>
      <c r="X1606" s="1">
        <v>775000</v>
      </c>
      <c r="Y1606" s="1">
        <v>775000</v>
      </c>
      <c r="Z1606" s="5">
        <v>43432</v>
      </c>
      <c r="AA1606" s="1">
        <v>733140</v>
      </c>
      <c r="AB1606" s="1" t="s">
        <v>1391</v>
      </c>
      <c r="AC1606" s="5">
        <v>43875</v>
      </c>
      <c r="AF1606" s="1">
        <v>10029</v>
      </c>
      <c r="AI1606" s="1" t="s">
        <v>113</v>
      </c>
      <c r="AJ1606" s="1">
        <v>1989</v>
      </c>
      <c r="AK1606" s="1" t="s">
        <v>49</v>
      </c>
      <c r="AL1606" s="1">
        <v>71</v>
      </c>
    </row>
    <row r="1607" spans="1:38" x14ac:dyDescent="0.2">
      <c r="A1607" s="2" t="str">
        <f>HYPERLINK("https://www.compass.com/listing/1325-5th-avenue-unit-3m-manhattan-ny-10029/176738053983948913/","1325 5th Ave, Unit 3M")</f>
        <v>1325 5th Ave, Unit 3M</v>
      </c>
      <c r="B1607" s="2" t="str">
        <f t="shared" si="248"/>
        <v>The Fifth Avenue</v>
      </c>
      <c r="C1607" s="1" t="s">
        <v>226</v>
      </c>
      <c r="D1607" s="1" t="s">
        <v>41</v>
      </c>
      <c r="E1607" s="3">
        <v>738231</v>
      </c>
      <c r="F1607" s="1">
        <v>1088.8366519174001</v>
      </c>
      <c r="G1607" s="1">
        <v>3</v>
      </c>
      <c r="H1607" s="1">
        <v>1</v>
      </c>
      <c r="I1607" s="1">
        <v>1</v>
      </c>
      <c r="J1607" s="1">
        <v>1</v>
      </c>
      <c r="K1607" s="1">
        <v>1</v>
      </c>
      <c r="M1607" s="1">
        <v>678</v>
      </c>
      <c r="N1607" s="1">
        <v>691.27</v>
      </c>
      <c r="O1607" s="1">
        <v>1075.1599999999901</v>
      </c>
      <c r="P1607" s="1">
        <v>383.916666666666</v>
      </c>
      <c r="Q1607" s="1" t="s">
        <v>42</v>
      </c>
      <c r="S1607" s="1" t="s">
        <v>42</v>
      </c>
      <c r="T1607" s="1" t="s">
        <v>153</v>
      </c>
      <c r="V1607" s="5">
        <v>43892</v>
      </c>
      <c r="W1607" s="5">
        <v>43495</v>
      </c>
      <c r="X1607" s="1">
        <v>755000</v>
      </c>
      <c r="Y1607" s="1">
        <v>755000</v>
      </c>
      <c r="Z1607" s="5">
        <v>43495</v>
      </c>
      <c r="AA1607" s="1">
        <v>738231.25</v>
      </c>
      <c r="AB1607" s="1" t="s">
        <v>1392</v>
      </c>
      <c r="AC1607" s="5">
        <v>43885</v>
      </c>
      <c r="AF1607" s="1">
        <v>10029</v>
      </c>
      <c r="AI1607" s="1" t="s">
        <v>113</v>
      </c>
      <c r="AJ1607" s="1">
        <v>1989</v>
      </c>
      <c r="AK1607" s="1" t="s">
        <v>49</v>
      </c>
      <c r="AL1607" s="1">
        <v>71</v>
      </c>
    </row>
    <row r="1608" spans="1:38" x14ac:dyDescent="0.2">
      <c r="A1608" s="2" t="str">
        <f>HYPERLINK("https://www.compass.com/listing/575-main-street-unit-103-manhattan-ny-10044/4852308516070763121/","575 Main St, Unit 103")</f>
        <v>575 Main St, Unit 103</v>
      </c>
      <c r="B1608" s="2" t="str">
        <f>HYPERLINK("https://www.compass.com/building/island-house-manhattan-ny/282065365649887429/","Island House")</f>
        <v>Island House</v>
      </c>
      <c r="C1608" s="1" t="s">
        <v>116</v>
      </c>
      <c r="D1608" s="1" t="s">
        <v>41</v>
      </c>
      <c r="E1608" s="3">
        <v>715000</v>
      </c>
      <c r="F1608" s="1">
        <v>679.01234567901201</v>
      </c>
      <c r="G1608" s="1">
        <v>5</v>
      </c>
      <c r="H1608" s="1">
        <v>2</v>
      </c>
      <c r="I1608" s="1">
        <v>2</v>
      </c>
      <c r="J1608" s="1">
        <v>2</v>
      </c>
      <c r="K1608" s="1">
        <v>2</v>
      </c>
      <c r="M1608" s="4">
        <v>1053</v>
      </c>
      <c r="N1608" s="1">
        <v>1044</v>
      </c>
      <c r="O1608" s="1">
        <v>1044</v>
      </c>
      <c r="Q1608" s="1" t="s">
        <v>117</v>
      </c>
      <c r="S1608" s="1" t="s">
        <v>117</v>
      </c>
      <c r="T1608" s="1" t="s">
        <v>153</v>
      </c>
      <c r="U1608" s="1">
        <v>21</v>
      </c>
      <c r="V1608" s="5">
        <v>43665</v>
      </c>
      <c r="W1608" s="5">
        <v>42648</v>
      </c>
      <c r="X1608" s="1">
        <v>715000</v>
      </c>
      <c r="Y1608" s="1">
        <v>715000</v>
      </c>
      <c r="Z1608" s="5">
        <v>42669</v>
      </c>
      <c r="AA1608" s="1">
        <v>715000</v>
      </c>
      <c r="AB1608" s="1" t="s">
        <v>177</v>
      </c>
      <c r="AC1608" s="5">
        <v>42710</v>
      </c>
      <c r="AF1608" s="1">
        <v>10044</v>
      </c>
      <c r="AJ1608" s="1">
        <v>1975</v>
      </c>
      <c r="AK1608" s="1" t="s">
        <v>86</v>
      </c>
      <c r="AL1608" s="1">
        <v>400</v>
      </c>
    </row>
    <row r="1609" spans="1:38" x14ac:dyDescent="0.2">
      <c r="A1609" s="2" t="str">
        <f>HYPERLINK("https://www.compass.com/listing/1325-5th-avenue-unit-3l-manhattan-ny-10029/181796263283520529/","1325 5th Ave, Unit 3L")</f>
        <v>1325 5th Ave, Unit 3L</v>
      </c>
      <c r="B1609" s="2" t="str">
        <f t="shared" ref="B1609:B1613" si="249">HYPERLINK("https://www.compass.com/building/the-fifth-avenue-manhattan-ny/294843719022876805/","The Fifth Avenue")</f>
        <v>The Fifth Avenue</v>
      </c>
      <c r="C1609" s="1" t="s">
        <v>226</v>
      </c>
      <c r="D1609" s="1" t="s">
        <v>41</v>
      </c>
      <c r="E1609" s="3">
        <v>1100000</v>
      </c>
      <c r="F1609" s="1">
        <v>1054.65004793863</v>
      </c>
      <c r="G1609" s="1">
        <v>4</v>
      </c>
      <c r="H1609" s="1">
        <v>2</v>
      </c>
      <c r="I1609" s="1">
        <v>2</v>
      </c>
      <c r="J1609" s="1">
        <v>2</v>
      </c>
      <c r="K1609" s="1">
        <v>2</v>
      </c>
      <c r="M1609" s="4">
        <v>1043</v>
      </c>
      <c r="N1609" s="1">
        <v>1063.42</v>
      </c>
      <c r="O1609" s="1">
        <v>1653.98</v>
      </c>
      <c r="P1609" s="1">
        <v>590.58333333333303</v>
      </c>
      <c r="Q1609" s="1" t="s">
        <v>42</v>
      </c>
      <c r="S1609" s="1" t="s">
        <v>42</v>
      </c>
      <c r="T1609" s="1" t="s">
        <v>153</v>
      </c>
      <c r="U1609" s="1">
        <v>33</v>
      </c>
      <c r="V1609" s="5">
        <v>43899</v>
      </c>
      <c r="W1609" s="5">
        <v>43503</v>
      </c>
      <c r="X1609" s="1">
        <v>1100000</v>
      </c>
      <c r="Y1609" s="1">
        <v>1100000</v>
      </c>
      <c r="Z1609" s="5">
        <v>43536</v>
      </c>
      <c r="AA1609" s="1">
        <v>1100000</v>
      </c>
      <c r="AB1609" s="1" t="s">
        <v>1393</v>
      </c>
      <c r="AC1609" s="5">
        <v>43887</v>
      </c>
      <c r="AF1609" s="1">
        <v>10029</v>
      </c>
      <c r="AI1609" s="1" t="s">
        <v>91</v>
      </c>
      <c r="AJ1609" s="1">
        <v>1989</v>
      </c>
      <c r="AK1609" s="1" t="s">
        <v>46</v>
      </c>
      <c r="AL1609" s="1">
        <v>71</v>
      </c>
    </row>
    <row r="1610" spans="1:38" x14ac:dyDescent="0.2">
      <c r="A1610" s="2" t="str">
        <f>HYPERLINK("https://www.compass.com/listing/1325-5th-avenue-unit-5l-manhattan-ny-10029/186884536766898273/","1325 5th Ave, Unit 5L")</f>
        <v>1325 5th Ave, Unit 5L</v>
      </c>
      <c r="B1610" s="2" t="str">
        <f t="shared" si="249"/>
        <v>The Fifth Avenue</v>
      </c>
      <c r="C1610" s="1" t="s">
        <v>226</v>
      </c>
      <c r="D1610" s="1" t="s">
        <v>41</v>
      </c>
      <c r="E1610" s="3">
        <v>1100000</v>
      </c>
      <c r="F1610" s="1">
        <v>1054.65004793863</v>
      </c>
      <c r="G1610" s="1">
        <v>4</v>
      </c>
      <c r="H1610" s="1">
        <v>2</v>
      </c>
      <c r="I1610" s="1">
        <v>2</v>
      </c>
      <c r="J1610" s="1">
        <v>2</v>
      </c>
      <c r="K1610" s="1">
        <v>2</v>
      </c>
      <c r="M1610" s="4">
        <v>1043</v>
      </c>
      <c r="N1610" s="1">
        <v>1175.3499999999999</v>
      </c>
      <c r="O1610" s="1">
        <v>1828.07</v>
      </c>
      <c r="P1610" s="1">
        <v>652.75</v>
      </c>
      <c r="Q1610" s="1" t="s">
        <v>42</v>
      </c>
      <c r="S1610" s="1" t="s">
        <v>42</v>
      </c>
      <c r="T1610" s="1" t="s">
        <v>153</v>
      </c>
      <c r="U1610" s="1">
        <v>26</v>
      </c>
      <c r="V1610" s="5">
        <v>43885</v>
      </c>
      <c r="W1610" s="5">
        <v>43510</v>
      </c>
      <c r="X1610" s="1">
        <v>1130000</v>
      </c>
      <c r="Y1610" s="1">
        <v>1130000</v>
      </c>
      <c r="Z1610" s="5">
        <v>43536</v>
      </c>
      <c r="AA1610" s="1">
        <v>1100000</v>
      </c>
      <c r="AB1610" s="1" t="s">
        <v>1394</v>
      </c>
      <c r="AC1610" s="5">
        <v>43868</v>
      </c>
      <c r="AF1610" s="1">
        <v>10029</v>
      </c>
      <c r="AI1610" s="1" t="s">
        <v>113</v>
      </c>
      <c r="AJ1610" s="1">
        <v>1989</v>
      </c>
      <c r="AK1610" s="1" t="s">
        <v>49</v>
      </c>
      <c r="AL1610" s="1">
        <v>71</v>
      </c>
    </row>
    <row r="1611" spans="1:38" x14ac:dyDescent="0.2">
      <c r="A1611" s="2" t="str">
        <f>HYPERLINK("https://www.compass.com/listing/1325-5th-avenue-unit-4f-manhattan-ny-10029/322677304782142817/","1325 5th Ave, Unit 4F")</f>
        <v>1325 5th Ave, Unit 4F</v>
      </c>
      <c r="B1611" s="2" t="str">
        <f t="shared" si="249"/>
        <v>The Fifth Avenue</v>
      </c>
      <c r="C1611" s="1" t="s">
        <v>226</v>
      </c>
      <c r="D1611" s="1" t="s">
        <v>41</v>
      </c>
      <c r="E1611" s="3">
        <v>970000</v>
      </c>
      <c r="F1611" s="1">
        <v>1053.20304017372</v>
      </c>
      <c r="G1611" s="1">
        <v>4</v>
      </c>
      <c r="H1611" s="1">
        <v>2</v>
      </c>
      <c r="I1611" s="1">
        <v>2</v>
      </c>
      <c r="J1611" s="1">
        <v>2</v>
      </c>
      <c r="K1611" s="1">
        <v>2</v>
      </c>
      <c r="M1611" s="1">
        <v>921</v>
      </c>
      <c r="Q1611" s="1" t="s">
        <v>42</v>
      </c>
      <c r="S1611" s="1" t="s">
        <v>42</v>
      </c>
      <c r="T1611" s="1" t="s">
        <v>153</v>
      </c>
      <c r="V1611" s="5">
        <v>43878</v>
      </c>
      <c r="W1611" s="5">
        <v>43696</v>
      </c>
      <c r="X1611" s="1">
        <v>985000</v>
      </c>
      <c r="Y1611" s="1">
        <v>985000</v>
      </c>
      <c r="Z1611" s="5">
        <v>43696</v>
      </c>
      <c r="AA1611" s="1">
        <v>970000</v>
      </c>
      <c r="AB1611" s="1" t="s">
        <v>1395</v>
      </c>
      <c r="AC1611" s="5">
        <v>43861</v>
      </c>
      <c r="AF1611" s="1">
        <v>10029</v>
      </c>
      <c r="AI1611" s="1" t="s">
        <v>113</v>
      </c>
      <c r="AJ1611" s="1">
        <v>1989</v>
      </c>
      <c r="AK1611" s="1" t="s">
        <v>46</v>
      </c>
      <c r="AL1611" s="1">
        <v>71</v>
      </c>
    </row>
    <row r="1612" spans="1:38" x14ac:dyDescent="0.2">
      <c r="A1612" s="2" t="str">
        <f>HYPERLINK("https://www.compass.com/listing/1325-5th-avenue-unit-5h-manhattan-ny-10029/44768555757033153/","1325 5th Ave, Unit 5H")</f>
        <v>1325 5th Ave, Unit 5H</v>
      </c>
      <c r="B1612" s="2" t="str">
        <f t="shared" si="249"/>
        <v>The Fifth Avenue</v>
      </c>
      <c r="C1612" s="1" t="s">
        <v>226</v>
      </c>
      <c r="D1612" s="1" t="s">
        <v>41</v>
      </c>
      <c r="E1612" s="3">
        <v>980000</v>
      </c>
      <c r="F1612" s="1">
        <v>1066.3764961915099</v>
      </c>
      <c r="G1612" s="1">
        <v>4</v>
      </c>
      <c r="H1612" s="1">
        <v>2</v>
      </c>
      <c r="I1612" s="1">
        <v>2</v>
      </c>
      <c r="J1612" s="1">
        <v>2</v>
      </c>
      <c r="K1612" s="1">
        <v>2</v>
      </c>
      <c r="M1612" s="1">
        <v>919</v>
      </c>
      <c r="N1612" s="1">
        <v>1035.6199999999999</v>
      </c>
      <c r="O1612" s="1">
        <v>1610.73999999999</v>
      </c>
      <c r="P1612" s="1">
        <v>575.08333333333303</v>
      </c>
      <c r="Q1612" s="1" t="s">
        <v>42</v>
      </c>
      <c r="S1612" s="1" t="s">
        <v>42</v>
      </c>
      <c r="T1612" s="1" t="s">
        <v>153</v>
      </c>
      <c r="U1612" s="1">
        <v>196</v>
      </c>
      <c r="V1612" s="5">
        <v>43878</v>
      </c>
      <c r="W1612" s="5">
        <v>43314</v>
      </c>
      <c r="X1612" s="1">
        <v>1045000</v>
      </c>
      <c r="Y1612" s="1">
        <v>1045000</v>
      </c>
      <c r="Z1612" s="5">
        <v>43510</v>
      </c>
      <c r="AA1612" s="1">
        <v>980000</v>
      </c>
      <c r="AB1612" s="1" t="s">
        <v>1396</v>
      </c>
      <c r="AC1612" s="5">
        <v>43866</v>
      </c>
      <c r="AF1612" s="1">
        <v>10029</v>
      </c>
      <c r="AI1612" s="1" t="s">
        <v>113</v>
      </c>
      <c r="AJ1612" s="1">
        <v>1989</v>
      </c>
      <c r="AK1612" s="1" t="s">
        <v>49</v>
      </c>
      <c r="AL1612" s="1">
        <v>71</v>
      </c>
    </row>
    <row r="1613" spans="1:38" x14ac:dyDescent="0.2">
      <c r="A1613" s="2" t="str">
        <f>HYPERLINK("https://www.compass.com/listing/1325-5th-avenue-unit-2h-manhattan-ny-10029/49803927146788529/","1325 5th Ave, Unit 2H")</f>
        <v>1325 5th Ave, Unit 2H</v>
      </c>
      <c r="B1613" s="2" t="str">
        <f t="shared" si="249"/>
        <v>The Fifth Avenue</v>
      </c>
      <c r="C1613" s="1" t="s">
        <v>226</v>
      </c>
      <c r="D1613" s="1" t="s">
        <v>41</v>
      </c>
      <c r="E1613" s="3">
        <v>925000</v>
      </c>
      <c r="F1613" s="1">
        <v>1006.52883569096</v>
      </c>
      <c r="G1613" s="1">
        <v>4</v>
      </c>
      <c r="H1613" s="1">
        <v>2</v>
      </c>
      <c r="I1613" s="1">
        <v>2</v>
      </c>
      <c r="J1613" s="1">
        <v>2</v>
      </c>
      <c r="K1613" s="1">
        <v>2</v>
      </c>
      <c r="M1613" s="1">
        <v>919</v>
      </c>
      <c r="N1613" s="1">
        <v>887.67</v>
      </c>
      <c r="O1613" s="1">
        <v>1380.6299999999901</v>
      </c>
      <c r="P1613" s="1">
        <v>493</v>
      </c>
      <c r="Q1613" s="1" t="s">
        <v>42</v>
      </c>
      <c r="S1613" s="1" t="s">
        <v>42</v>
      </c>
      <c r="T1613" s="1" t="s">
        <v>153</v>
      </c>
      <c r="U1613" s="1">
        <v>173</v>
      </c>
      <c r="V1613" s="5">
        <v>43885</v>
      </c>
      <c r="W1613" s="5">
        <v>43321</v>
      </c>
      <c r="X1613" s="1">
        <v>1000000</v>
      </c>
      <c r="Y1613" s="1">
        <v>1000000</v>
      </c>
      <c r="Z1613" s="5">
        <v>43494</v>
      </c>
      <c r="AA1613" s="1">
        <v>925000</v>
      </c>
      <c r="AB1613" s="1" t="s">
        <v>1397</v>
      </c>
      <c r="AC1613" s="5">
        <v>43874</v>
      </c>
      <c r="AF1613" s="1">
        <v>10029</v>
      </c>
      <c r="AI1613" s="1" t="s">
        <v>113</v>
      </c>
      <c r="AJ1613" s="1">
        <v>1989</v>
      </c>
      <c r="AK1613" s="1" t="s">
        <v>49</v>
      </c>
      <c r="AL1613" s="1">
        <v>71</v>
      </c>
    </row>
    <row r="1614" spans="1:38" x14ac:dyDescent="0.2">
      <c r="A1614" s="2" t="str">
        <f>HYPERLINK("https://www.compass.com/listing/575-main-street-unit-406-manhattan-ny-10044/4852324590514341921/","575 Main St, Unit 406")</f>
        <v>575 Main St, Unit 406</v>
      </c>
      <c r="B1614" s="2" t="str">
        <f>HYPERLINK("https://www.compass.com/building/island-house-manhattan-ny/282065365649887429/","Island House")</f>
        <v>Island House</v>
      </c>
      <c r="C1614" s="1" t="s">
        <v>116</v>
      </c>
      <c r="D1614" s="1" t="s">
        <v>41</v>
      </c>
      <c r="E1614" s="3">
        <v>699000</v>
      </c>
      <c r="F1614" s="1">
        <v>663.81766381766295</v>
      </c>
      <c r="G1614" s="1">
        <v>5</v>
      </c>
      <c r="H1614" s="1">
        <v>2</v>
      </c>
      <c r="I1614" s="1">
        <v>2</v>
      </c>
      <c r="J1614" s="1">
        <v>2</v>
      </c>
      <c r="K1614" s="1">
        <v>2</v>
      </c>
      <c r="M1614" s="4">
        <v>1053</v>
      </c>
      <c r="N1614" s="1">
        <v>1132</v>
      </c>
      <c r="O1614" s="1">
        <v>1132</v>
      </c>
      <c r="Q1614" s="1" t="s">
        <v>117</v>
      </c>
      <c r="S1614" s="1" t="s">
        <v>117</v>
      </c>
      <c r="T1614" s="1" t="s">
        <v>153</v>
      </c>
      <c r="U1614" s="1">
        <v>40</v>
      </c>
      <c r="V1614" s="5">
        <v>43679</v>
      </c>
      <c r="W1614" s="5">
        <v>42160</v>
      </c>
      <c r="X1614" s="1">
        <v>699000</v>
      </c>
      <c r="Y1614" s="1">
        <v>699000</v>
      </c>
      <c r="Z1614" s="5">
        <v>42200</v>
      </c>
      <c r="AA1614" s="1">
        <v>699000</v>
      </c>
      <c r="AB1614" s="1" t="s">
        <v>177</v>
      </c>
      <c r="AC1614" s="5">
        <v>42430</v>
      </c>
      <c r="AF1614" s="1">
        <v>10044</v>
      </c>
      <c r="AJ1614" s="1">
        <v>1975</v>
      </c>
      <c r="AK1614" s="1" t="s">
        <v>86</v>
      </c>
      <c r="AL1614" s="1">
        <v>400</v>
      </c>
    </row>
    <row r="1615" spans="1:38" x14ac:dyDescent="0.2">
      <c r="A1615" s="2" t="str">
        <f>HYPERLINK("https://www.compass.com/listing/1325-5th-avenue-unit-6c-manhattan-ny-10029/70656438468385553/","1325 5th Ave, Unit 6C")</f>
        <v>1325 5th Ave, Unit 6C</v>
      </c>
      <c r="B1615" s="2" t="str">
        <f t="shared" ref="B1615:B1616" si="250">HYPERLINK("https://www.compass.com/building/the-fifth-avenue-manhattan-ny/294843719022876805/","The Fifth Avenue")</f>
        <v>The Fifth Avenue</v>
      </c>
      <c r="C1615" s="1" t="s">
        <v>226</v>
      </c>
      <c r="D1615" s="1" t="s">
        <v>41</v>
      </c>
      <c r="E1615" s="3">
        <v>1450000</v>
      </c>
      <c r="F1615" s="1">
        <v>1088.58858858858</v>
      </c>
      <c r="G1615" s="1">
        <v>5</v>
      </c>
      <c r="H1615" s="1">
        <v>3</v>
      </c>
      <c r="I1615" s="1">
        <v>2</v>
      </c>
      <c r="J1615" s="1">
        <v>2</v>
      </c>
      <c r="K1615" s="1">
        <v>2</v>
      </c>
      <c r="M1615" s="4">
        <v>1332</v>
      </c>
      <c r="N1615" s="1">
        <v>1572.51</v>
      </c>
      <c r="O1615" s="1">
        <v>2445.7799999999902</v>
      </c>
      <c r="P1615" s="1">
        <v>873.25</v>
      </c>
      <c r="Q1615" s="1" t="s">
        <v>42</v>
      </c>
      <c r="S1615" s="1" t="s">
        <v>42</v>
      </c>
      <c r="T1615" s="1" t="s">
        <v>153</v>
      </c>
      <c r="U1615" s="1">
        <v>125</v>
      </c>
      <c r="V1615" s="5">
        <v>43878</v>
      </c>
      <c r="W1615" s="5">
        <v>43349</v>
      </c>
      <c r="X1615" s="1">
        <v>1560000</v>
      </c>
      <c r="Y1615" s="1">
        <v>1560000</v>
      </c>
      <c r="Z1615" s="5">
        <v>43474</v>
      </c>
      <c r="AA1615" s="1">
        <v>1450000</v>
      </c>
      <c r="AB1615" s="1" t="s">
        <v>1398</v>
      </c>
      <c r="AC1615" s="5">
        <v>43866</v>
      </c>
      <c r="AF1615" s="1">
        <v>10029</v>
      </c>
      <c r="AI1615" s="1" t="s">
        <v>113</v>
      </c>
      <c r="AJ1615" s="1">
        <v>1989</v>
      </c>
      <c r="AK1615" s="1" t="s">
        <v>46</v>
      </c>
      <c r="AL1615" s="1">
        <v>71</v>
      </c>
    </row>
    <row r="1616" spans="1:38" x14ac:dyDescent="0.2">
      <c r="A1616" s="2" t="str">
        <f>HYPERLINK("https://www.compass.com/listing/1325-5th-avenue-unit-2m-manhattan-ny-10029/187571904347932977/","1325 5th Ave, Unit 2M")</f>
        <v>1325 5th Ave, Unit 2M</v>
      </c>
      <c r="B1616" s="2" t="str">
        <f t="shared" si="250"/>
        <v>The Fifth Avenue</v>
      </c>
      <c r="C1616" s="1" t="s">
        <v>226</v>
      </c>
      <c r="D1616" s="1" t="s">
        <v>41</v>
      </c>
      <c r="E1616" s="3">
        <v>743322</v>
      </c>
      <c r="F1616" s="1">
        <v>1096.34513274336</v>
      </c>
      <c r="G1616" s="1">
        <v>3</v>
      </c>
      <c r="H1616" s="1">
        <v>1</v>
      </c>
      <c r="I1616" s="1">
        <v>1</v>
      </c>
      <c r="J1616" s="1">
        <v>1</v>
      </c>
      <c r="K1616" s="1">
        <v>1</v>
      </c>
      <c r="M1616" s="1">
        <v>678</v>
      </c>
      <c r="N1616" s="1">
        <v>706.4</v>
      </c>
      <c r="O1616" s="1">
        <v>1098.69</v>
      </c>
      <c r="P1616" s="1">
        <v>392.25</v>
      </c>
      <c r="Q1616" s="1" t="s">
        <v>42</v>
      </c>
      <c r="S1616" s="1" t="s">
        <v>42</v>
      </c>
      <c r="T1616" s="1" t="s">
        <v>153</v>
      </c>
      <c r="U1616" s="1">
        <v>179</v>
      </c>
      <c r="V1616" s="5">
        <v>43899</v>
      </c>
      <c r="W1616" s="5">
        <v>43511</v>
      </c>
      <c r="X1616" s="1">
        <v>855000</v>
      </c>
      <c r="Y1616" s="1">
        <v>760000</v>
      </c>
      <c r="Z1616" s="5">
        <v>43690</v>
      </c>
      <c r="AA1616" s="1">
        <v>743322.5</v>
      </c>
      <c r="AB1616" s="1" t="s">
        <v>1399</v>
      </c>
      <c r="AC1616" s="5">
        <v>43888</v>
      </c>
      <c r="AF1616" s="1">
        <v>10029</v>
      </c>
      <c r="AI1616" s="1" t="s">
        <v>1400</v>
      </c>
      <c r="AJ1616" s="1">
        <v>1989</v>
      </c>
      <c r="AK1616" s="1" t="s">
        <v>46</v>
      </c>
      <c r="AL1616" s="1">
        <v>71</v>
      </c>
    </row>
    <row r="1617" spans="1:38" x14ac:dyDescent="0.2">
      <c r="A1617" s="2" t="str">
        <f>HYPERLINK("https://www.compass.com/listing/575-main-street-unit-207-manhattan-ny-10044/4852265487226119313/","575 Main St, Unit 207")</f>
        <v>575 Main St, Unit 207</v>
      </c>
      <c r="B1617" s="2" t="str">
        <f t="shared" ref="B1617:B1637" si="251">HYPERLINK("https://www.compass.com/building/island-house-manhattan-ny/282065365649887429/","Island House")</f>
        <v>Island House</v>
      </c>
      <c r="C1617" s="1" t="s">
        <v>116</v>
      </c>
      <c r="D1617" s="1" t="s">
        <v>41</v>
      </c>
      <c r="E1617" s="3">
        <v>735000</v>
      </c>
      <c r="F1617" s="1">
        <v>698.00569800569804</v>
      </c>
      <c r="G1617" s="1">
        <v>4</v>
      </c>
      <c r="H1617" s="1">
        <v>2</v>
      </c>
      <c r="I1617" s="1">
        <v>2</v>
      </c>
      <c r="J1617" s="1">
        <v>2</v>
      </c>
      <c r="K1617" s="1">
        <v>2</v>
      </c>
      <c r="M1617" s="4">
        <v>1053</v>
      </c>
      <c r="N1617" s="1">
        <v>962</v>
      </c>
      <c r="O1617" s="1">
        <v>962</v>
      </c>
      <c r="Q1617" s="1" t="s">
        <v>117</v>
      </c>
      <c r="S1617" s="1" t="s">
        <v>117</v>
      </c>
      <c r="T1617" s="1" t="s">
        <v>153</v>
      </c>
      <c r="U1617" s="1">
        <v>89</v>
      </c>
      <c r="V1617" s="5">
        <v>43664</v>
      </c>
      <c r="W1617" s="5">
        <v>42621</v>
      </c>
      <c r="X1617" s="1">
        <v>735000</v>
      </c>
      <c r="Y1617" s="1">
        <v>735000</v>
      </c>
      <c r="Z1617" s="5">
        <v>42713</v>
      </c>
      <c r="AA1617" s="1">
        <v>735000</v>
      </c>
      <c r="AB1617" s="1" t="s">
        <v>177</v>
      </c>
      <c r="AC1617" s="5">
        <v>42829</v>
      </c>
      <c r="AF1617" s="1">
        <v>10044</v>
      </c>
      <c r="AJ1617" s="1">
        <v>1975</v>
      </c>
      <c r="AK1617" s="1" t="s">
        <v>86</v>
      </c>
      <c r="AL1617" s="1">
        <v>400</v>
      </c>
    </row>
    <row r="1618" spans="1:38" x14ac:dyDescent="0.2">
      <c r="A1618" s="2" t="str">
        <f>HYPERLINK("https://www.compass.com/listing/575-main-street-unit-1307-manhattan-ny-10044/4852273867588122657/","575 Main St, Unit 1307")</f>
        <v>575 Main St, Unit 1307</v>
      </c>
      <c r="B1618" s="2" t="str">
        <f t="shared" si="251"/>
        <v>Island House</v>
      </c>
      <c r="C1618" s="1" t="s">
        <v>116</v>
      </c>
      <c r="D1618" s="1" t="s">
        <v>41</v>
      </c>
      <c r="E1618" s="3">
        <v>795000</v>
      </c>
      <c r="F1618" s="1">
        <v>754.98575498575497</v>
      </c>
      <c r="G1618" s="1">
        <v>5</v>
      </c>
      <c r="H1618" s="1">
        <v>2</v>
      </c>
      <c r="I1618" s="1">
        <v>2</v>
      </c>
      <c r="J1618" s="1">
        <v>2</v>
      </c>
      <c r="K1618" s="1">
        <v>2</v>
      </c>
      <c r="M1618" s="4">
        <v>1053</v>
      </c>
      <c r="N1618" s="1">
        <v>1230</v>
      </c>
      <c r="O1618" s="1">
        <v>1230</v>
      </c>
      <c r="Q1618" s="1" t="s">
        <v>117</v>
      </c>
      <c r="S1618" s="1" t="s">
        <v>117</v>
      </c>
      <c r="T1618" s="1" t="s">
        <v>153</v>
      </c>
      <c r="U1618" s="1">
        <v>101</v>
      </c>
      <c r="V1618" s="5">
        <v>43677</v>
      </c>
      <c r="W1618" s="5">
        <v>42182</v>
      </c>
      <c r="X1618" s="1">
        <v>795000</v>
      </c>
      <c r="Y1618" s="1">
        <v>795000</v>
      </c>
      <c r="Z1618" s="5">
        <v>42399</v>
      </c>
      <c r="AA1618" s="1">
        <v>795000</v>
      </c>
      <c r="AB1618" s="1" t="s">
        <v>177</v>
      </c>
      <c r="AC1618" s="5">
        <v>42497</v>
      </c>
      <c r="AF1618" s="1">
        <v>10044</v>
      </c>
      <c r="AJ1618" s="1">
        <v>1975</v>
      </c>
      <c r="AK1618" s="1" t="s">
        <v>86</v>
      </c>
      <c r="AL1618" s="1">
        <v>400</v>
      </c>
    </row>
    <row r="1619" spans="1:38" x14ac:dyDescent="0.2">
      <c r="A1619" s="2" t="str">
        <f>HYPERLINK("https://www.compass.com/listing/575-main-street-unit-605-manhattan-ny-10044/4852307047670099185/","575 Main St, Unit 605")</f>
        <v>575 Main St, Unit 605</v>
      </c>
      <c r="B1619" s="2" t="str">
        <f t="shared" si="251"/>
        <v>Island House</v>
      </c>
      <c r="C1619" s="1" t="s">
        <v>116</v>
      </c>
      <c r="D1619" s="1" t="s">
        <v>41</v>
      </c>
      <c r="E1619" s="3">
        <v>995000</v>
      </c>
      <c r="F1619" s="1">
        <v>875.10993843447602</v>
      </c>
      <c r="G1619" s="1">
        <v>4</v>
      </c>
      <c r="H1619" s="1">
        <v>2</v>
      </c>
      <c r="I1619" s="1">
        <v>2</v>
      </c>
      <c r="J1619" s="1">
        <v>2</v>
      </c>
      <c r="K1619" s="1">
        <v>2</v>
      </c>
      <c r="M1619" s="4">
        <v>1137</v>
      </c>
      <c r="N1619" s="1">
        <v>1304</v>
      </c>
      <c r="O1619" s="1">
        <v>1304</v>
      </c>
      <c r="Q1619" s="1" t="s">
        <v>117</v>
      </c>
      <c r="S1619" s="1" t="s">
        <v>117</v>
      </c>
      <c r="T1619" s="1" t="s">
        <v>153</v>
      </c>
      <c r="U1619" s="1">
        <v>68</v>
      </c>
      <c r="V1619" s="5">
        <v>43675</v>
      </c>
      <c r="W1619" s="5">
        <v>42285</v>
      </c>
      <c r="X1619" s="1">
        <v>995000</v>
      </c>
      <c r="Y1619" s="1">
        <v>995000</v>
      </c>
      <c r="Z1619" s="5">
        <v>42399</v>
      </c>
      <c r="AA1619" s="1">
        <v>995000</v>
      </c>
      <c r="AB1619" s="1" t="s">
        <v>177</v>
      </c>
      <c r="AC1619" s="5">
        <v>42572</v>
      </c>
      <c r="AF1619" s="1">
        <v>10044</v>
      </c>
      <c r="AJ1619" s="1">
        <v>1975</v>
      </c>
      <c r="AK1619" s="1" t="s">
        <v>86</v>
      </c>
      <c r="AL1619" s="1">
        <v>400</v>
      </c>
    </row>
    <row r="1620" spans="1:38" x14ac:dyDescent="0.2">
      <c r="A1620" s="2" t="str">
        <f>HYPERLINK("https://www.compass.com/listing/575-main-street-unit-602-manhattan-ny-10044/4852273063011558241/","575 Main St, Unit 602")</f>
        <v>575 Main St, Unit 602</v>
      </c>
      <c r="B1620" s="2" t="str">
        <f t="shared" si="251"/>
        <v>Island House</v>
      </c>
      <c r="C1620" s="1" t="s">
        <v>116</v>
      </c>
      <c r="D1620" s="1" t="s">
        <v>41</v>
      </c>
      <c r="E1620" s="3">
        <v>789000</v>
      </c>
      <c r="F1620" s="1">
        <v>749.28774928774897</v>
      </c>
      <c r="G1620" s="1">
        <v>4</v>
      </c>
      <c r="H1620" s="1">
        <v>2</v>
      </c>
      <c r="I1620" s="1">
        <v>2</v>
      </c>
      <c r="J1620" s="1">
        <v>2</v>
      </c>
      <c r="K1620" s="1">
        <v>2</v>
      </c>
      <c r="M1620" s="4">
        <v>1053</v>
      </c>
      <c r="N1620" s="1">
        <v>1154</v>
      </c>
      <c r="O1620" s="1">
        <v>1154</v>
      </c>
      <c r="Q1620" s="1" t="s">
        <v>117</v>
      </c>
      <c r="S1620" s="1" t="s">
        <v>117</v>
      </c>
      <c r="T1620" s="1" t="s">
        <v>153</v>
      </c>
      <c r="U1620" s="1">
        <v>82</v>
      </c>
      <c r="V1620" s="5">
        <v>43677</v>
      </c>
      <c r="W1620" s="5">
        <v>42202</v>
      </c>
      <c r="X1620" s="1">
        <v>789000</v>
      </c>
      <c r="Y1620" s="1">
        <v>789000</v>
      </c>
      <c r="Z1620" s="5">
        <v>42397</v>
      </c>
      <c r="AA1620" s="1">
        <v>789000</v>
      </c>
      <c r="AB1620" s="1" t="s">
        <v>177</v>
      </c>
      <c r="AC1620" s="5">
        <v>42500</v>
      </c>
      <c r="AF1620" s="1">
        <v>10044</v>
      </c>
      <c r="AJ1620" s="1">
        <v>1975</v>
      </c>
      <c r="AK1620" s="1" t="s">
        <v>86</v>
      </c>
      <c r="AL1620" s="1">
        <v>400</v>
      </c>
    </row>
    <row r="1621" spans="1:38" x14ac:dyDescent="0.2">
      <c r="A1621" s="2" t="str">
        <f>HYPERLINK("https://www.compass.com/listing/575-main-street-unit-903-manhattan-ny-10044/4852288150048867521/","575 Main St, Unit 903")</f>
        <v>575 Main St, Unit 903</v>
      </c>
      <c r="B1621" s="2" t="str">
        <f t="shared" si="251"/>
        <v>Island House</v>
      </c>
      <c r="C1621" s="1" t="s">
        <v>116</v>
      </c>
      <c r="D1621" s="1" t="s">
        <v>41</v>
      </c>
      <c r="E1621" s="3">
        <v>765000</v>
      </c>
      <c r="F1621" s="1">
        <v>726.49572649572599</v>
      </c>
      <c r="G1621" s="1">
        <v>5</v>
      </c>
      <c r="H1621" s="1">
        <v>2</v>
      </c>
      <c r="I1621" s="1">
        <v>2</v>
      </c>
      <c r="J1621" s="1">
        <v>2</v>
      </c>
      <c r="K1621" s="1">
        <v>2</v>
      </c>
      <c r="M1621" s="4">
        <v>1053</v>
      </c>
      <c r="N1621" s="1">
        <v>1186</v>
      </c>
      <c r="O1621" s="1">
        <v>1186</v>
      </c>
      <c r="Q1621" s="1" t="s">
        <v>117</v>
      </c>
      <c r="S1621" s="1" t="s">
        <v>117</v>
      </c>
      <c r="T1621" s="1" t="s">
        <v>153</v>
      </c>
      <c r="U1621" s="1">
        <v>43</v>
      </c>
      <c r="V1621" s="5">
        <v>43678</v>
      </c>
      <c r="W1621" s="5">
        <v>42152</v>
      </c>
      <c r="X1621" s="1">
        <v>701300</v>
      </c>
      <c r="Y1621" s="1">
        <v>765000</v>
      </c>
      <c r="Z1621" s="5">
        <v>42195</v>
      </c>
      <c r="AA1621" s="1">
        <v>765000</v>
      </c>
      <c r="AB1621" s="1" t="s">
        <v>177</v>
      </c>
      <c r="AC1621" s="5">
        <v>42434</v>
      </c>
      <c r="AF1621" s="1">
        <v>10044</v>
      </c>
      <c r="AJ1621" s="1">
        <v>1975</v>
      </c>
      <c r="AK1621" s="1" t="s">
        <v>86</v>
      </c>
      <c r="AL1621" s="1">
        <v>400</v>
      </c>
    </row>
    <row r="1622" spans="1:38" x14ac:dyDescent="0.2">
      <c r="A1622" s="2" t="str">
        <f>HYPERLINK("https://www.compass.com/listing/575-main-street-unit-905-manhattan-ny-10044/192573599150856257/","575 Main St, Unit 905")</f>
        <v>575 Main St, Unit 905</v>
      </c>
      <c r="B1622" s="2" t="str">
        <f t="shared" si="251"/>
        <v>Island House</v>
      </c>
      <c r="C1622" s="1" t="s">
        <v>116</v>
      </c>
      <c r="D1622" s="1" t="s">
        <v>41</v>
      </c>
      <c r="E1622" s="3">
        <v>899000</v>
      </c>
      <c r="G1622" s="1">
        <v>4</v>
      </c>
      <c r="H1622" s="1">
        <v>2</v>
      </c>
      <c r="I1622" s="1">
        <v>2</v>
      </c>
      <c r="J1622" s="1">
        <v>2</v>
      </c>
      <c r="K1622" s="1">
        <v>2</v>
      </c>
      <c r="N1622" s="1">
        <v>1341.34</v>
      </c>
      <c r="O1622" s="1">
        <v>1341.34</v>
      </c>
      <c r="Q1622" s="1" t="s">
        <v>117</v>
      </c>
      <c r="S1622" s="1" t="s">
        <v>117</v>
      </c>
      <c r="T1622" s="1" t="s">
        <v>153</v>
      </c>
      <c r="V1622" s="5">
        <v>43678</v>
      </c>
      <c r="W1622" s="5">
        <v>42468</v>
      </c>
      <c r="X1622" s="1">
        <v>899000</v>
      </c>
      <c r="Y1622" s="1">
        <v>899000</v>
      </c>
      <c r="AA1622" s="1">
        <v>899000</v>
      </c>
      <c r="AB1622" s="1" t="s">
        <v>177</v>
      </c>
      <c r="AC1622" s="5">
        <v>42468</v>
      </c>
      <c r="AF1622" s="1">
        <v>10044</v>
      </c>
      <c r="AJ1622" s="1">
        <v>1975</v>
      </c>
      <c r="AK1622" s="1" t="s">
        <v>86</v>
      </c>
      <c r="AL1622" s="1">
        <v>400</v>
      </c>
    </row>
    <row r="1623" spans="1:38" x14ac:dyDescent="0.2">
      <c r="A1623" s="2" t="str">
        <f>HYPERLINK("https://www.compass.com/listing/575-main-street-unit-202-manhattan-ny-10044/4852265175195059329/","575 Main St, Unit 202")</f>
        <v>575 Main St, Unit 202</v>
      </c>
      <c r="B1623" s="2" t="str">
        <f t="shared" si="251"/>
        <v>Island House</v>
      </c>
      <c r="C1623" s="1" t="s">
        <v>116</v>
      </c>
      <c r="D1623" s="1" t="s">
        <v>41</v>
      </c>
      <c r="E1623" s="3">
        <v>750000</v>
      </c>
      <c r="G1623" s="1">
        <v>4</v>
      </c>
      <c r="H1623" s="1">
        <v>2</v>
      </c>
      <c r="I1623" s="1">
        <v>2</v>
      </c>
      <c r="J1623" s="1">
        <v>2</v>
      </c>
      <c r="K1623" s="1">
        <v>2</v>
      </c>
      <c r="N1623" s="1">
        <v>962</v>
      </c>
      <c r="O1623" s="1">
        <v>962</v>
      </c>
      <c r="Q1623" s="1" t="s">
        <v>117</v>
      </c>
      <c r="S1623" s="1" t="s">
        <v>117</v>
      </c>
      <c r="T1623" s="1" t="s">
        <v>153</v>
      </c>
      <c r="V1623" s="5">
        <v>43668</v>
      </c>
      <c r="W1623" s="5">
        <v>42805</v>
      </c>
      <c r="X1623" s="1">
        <v>750000</v>
      </c>
      <c r="Y1623" s="1">
        <v>750000</v>
      </c>
      <c r="Z1623" s="5">
        <v>42805</v>
      </c>
      <c r="AA1623" s="1">
        <v>750000</v>
      </c>
      <c r="AB1623" s="1" t="s">
        <v>177</v>
      </c>
      <c r="AC1623" s="5">
        <v>42829</v>
      </c>
      <c r="AF1623" s="1">
        <v>10044</v>
      </c>
      <c r="AJ1623" s="1">
        <v>1975</v>
      </c>
      <c r="AK1623" s="1" t="s">
        <v>86</v>
      </c>
      <c r="AL1623" s="1">
        <v>400</v>
      </c>
    </row>
    <row r="1624" spans="1:38" x14ac:dyDescent="0.2">
      <c r="A1624" s="2" t="str">
        <f>HYPERLINK("https://www.compass.com/listing/575-main-street-unit-1802-manhattan-ny-10044/4852277771134577473/","575 Main St, Unit 1802")</f>
        <v>575 Main St, Unit 1802</v>
      </c>
      <c r="B1624" s="2" t="str">
        <f t="shared" si="251"/>
        <v>Island House</v>
      </c>
      <c r="C1624" s="1" t="s">
        <v>116</v>
      </c>
      <c r="D1624" s="1" t="s">
        <v>41</v>
      </c>
      <c r="E1624" s="3">
        <v>980000</v>
      </c>
      <c r="F1624" s="1">
        <v>930.674264007597</v>
      </c>
      <c r="G1624" s="1">
        <v>5</v>
      </c>
      <c r="H1624" s="1">
        <v>2</v>
      </c>
      <c r="I1624" s="1">
        <v>2</v>
      </c>
      <c r="J1624" s="1">
        <v>2</v>
      </c>
      <c r="K1624" s="1">
        <v>2</v>
      </c>
      <c r="M1624" s="4">
        <v>1053</v>
      </c>
      <c r="N1624" s="1">
        <v>1274</v>
      </c>
      <c r="O1624" s="1">
        <v>1274</v>
      </c>
      <c r="Q1624" s="1" t="s">
        <v>117</v>
      </c>
      <c r="S1624" s="1" t="s">
        <v>117</v>
      </c>
      <c r="T1624" s="1" t="s">
        <v>153</v>
      </c>
      <c r="U1624" s="1">
        <v>97</v>
      </c>
      <c r="V1624" s="5">
        <v>43670</v>
      </c>
      <c r="W1624" s="5">
        <v>42774</v>
      </c>
      <c r="X1624" s="1">
        <v>975000</v>
      </c>
      <c r="Y1624" s="1">
        <v>980000</v>
      </c>
      <c r="Z1624" s="5">
        <v>42871</v>
      </c>
      <c r="AA1624" s="1">
        <v>980000</v>
      </c>
      <c r="AB1624" s="1" t="s">
        <v>177</v>
      </c>
      <c r="AC1624" s="5">
        <v>42952</v>
      </c>
      <c r="AF1624" s="1">
        <v>10044</v>
      </c>
      <c r="AJ1624" s="1">
        <v>1975</v>
      </c>
      <c r="AK1624" s="1" t="s">
        <v>86</v>
      </c>
      <c r="AL1624" s="1">
        <v>400</v>
      </c>
    </row>
    <row r="1625" spans="1:38" x14ac:dyDescent="0.2">
      <c r="A1625" s="2" t="str">
        <f>HYPERLINK("https://www.compass.com/listing/575-main-street-unit-909-manhattan-ny-10044/4852270618529244369/","575 Main St, Unit 909")</f>
        <v>575 Main St, Unit 909</v>
      </c>
      <c r="B1625" s="2" t="str">
        <f t="shared" si="251"/>
        <v>Island House</v>
      </c>
      <c r="C1625" s="1" t="s">
        <v>116</v>
      </c>
      <c r="D1625" s="1" t="s">
        <v>41</v>
      </c>
      <c r="E1625" s="3">
        <v>1007000</v>
      </c>
      <c r="F1625" s="1">
        <v>608.09178743961297</v>
      </c>
      <c r="G1625" s="1">
        <v>6</v>
      </c>
      <c r="H1625" s="1">
        <v>3</v>
      </c>
      <c r="I1625" s="1">
        <v>2</v>
      </c>
      <c r="J1625" s="1">
        <v>2</v>
      </c>
      <c r="K1625" s="1">
        <v>2</v>
      </c>
      <c r="M1625" s="4">
        <v>1656</v>
      </c>
      <c r="N1625" s="1">
        <v>1704</v>
      </c>
      <c r="O1625" s="1">
        <v>1704</v>
      </c>
      <c r="Q1625" s="1" t="s">
        <v>117</v>
      </c>
      <c r="S1625" s="1" t="s">
        <v>117</v>
      </c>
      <c r="T1625" s="1" t="s">
        <v>153</v>
      </c>
      <c r="U1625" s="1">
        <v>50</v>
      </c>
      <c r="V1625" s="5">
        <v>43678</v>
      </c>
      <c r="W1625" s="5">
        <v>42152</v>
      </c>
      <c r="X1625" s="1">
        <v>1007000</v>
      </c>
      <c r="Y1625" s="1">
        <v>1007000</v>
      </c>
      <c r="Z1625" s="5">
        <v>42202</v>
      </c>
      <c r="AA1625" s="1">
        <v>1007000</v>
      </c>
      <c r="AB1625" s="1" t="s">
        <v>177</v>
      </c>
      <c r="AC1625" s="5">
        <v>42446</v>
      </c>
      <c r="AF1625" s="1">
        <v>10044</v>
      </c>
      <c r="AJ1625" s="1">
        <v>1975</v>
      </c>
      <c r="AK1625" s="1" t="s">
        <v>86</v>
      </c>
      <c r="AL1625" s="1">
        <v>400</v>
      </c>
    </row>
    <row r="1626" spans="1:38" x14ac:dyDescent="0.2">
      <c r="A1626" s="2" t="str">
        <f>HYPERLINK("https://www.compass.com/listing/575-main-street-unit-714-manhattan-ny-10044/4852307207347245857/","575 Main St, Unit 714")</f>
        <v>575 Main St, Unit 714</v>
      </c>
      <c r="B1626" s="2" t="str">
        <f t="shared" si="251"/>
        <v>Island House</v>
      </c>
      <c r="C1626" s="1" t="s">
        <v>116</v>
      </c>
      <c r="D1626" s="1" t="s">
        <v>41</v>
      </c>
      <c r="E1626" s="3">
        <v>1395000</v>
      </c>
      <c r="F1626" s="1">
        <v>842.39130434782601</v>
      </c>
      <c r="G1626" s="1">
        <v>6</v>
      </c>
      <c r="H1626" s="1">
        <v>3</v>
      </c>
      <c r="I1626" s="1">
        <v>3</v>
      </c>
      <c r="J1626" s="1">
        <v>3</v>
      </c>
      <c r="K1626" s="1">
        <v>3</v>
      </c>
      <c r="M1626" s="4">
        <v>1656</v>
      </c>
      <c r="N1626" s="1">
        <v>1740</v>
      </c>
      <c r="O1626" s="1">
        <v>1740</v>
      </c>
      <c r="Q1626" s="1" t="s">
        <v>117</v>
      </c>
      <c r="S1626" s="1" t="s">
        <v>117</v>
      </c>
      <c r="T1626" s="1" t="s">
        <v>153</v>
      </c>
      <c r="U1626" s="1">
        <v>80</v>
      </c>
      <c r="V1626" s="5">
        <v>43672</v>
      </c>
      <c r="W1626" s="5">
        <v>42560</v>
      </c>
      <c r="X1626" s="1">
        <v>1395000</v>
      </c>
      <c r="Y1626" s="1">
        <v>1395000</v>
      </c>
      <c r="Z1626" s="5">
        <v>42640</v>
      </c>
      <c r="AA1626" s="1">
        <v>1395000</v>
      </c>
      <c r="AB1626" s="1" t="s">
        <v>177</v>
      </c>
      <c r="AC1626" s="5">
        <v>42705</v>
      </c>
      <c r="AF1626" s="1">
        <v>10044</v>
      </c>
      <c r="AJ1626" s="1">
        <v>1975</v>
      </c>
      <c r="AK1626" s="1" t="s">
        <v>86</v>
      </c>
      <c r="AL1626" s="1">
        <v>400</v>
      </c>
    </row>
    <row r="1627" spans="1:38" x14ac:dyDescent="0.2">
      <c r="A1627" s="2" t="str">
        <f>HYPERLINK("https://www.compass.com/listing/575-main-street-unit-804-manhattan-ny-10044/29410523653101649/","575 Main St, Unit 804")</f>
        <v>575 Main St, Unit 804</v>
      </c>
      <c r="B1627" s="2" t="str">
        <f t="shared" si="251"/>
        <v>Island House</v>
      </c>
      <c r="C1627" s="1" t="s">
        <v>116</v>
      </c>
      <c r="D1627" s="1" t="s">
        <v>41</v>
      </c>
      <c r="E1627" s="3">
        <v>1100000</v>
      </c>
      <c r="G1627" s="1">
        <v>4</v>
      </c>
      <c r="H1627" s="1">
        <v>2</v>
      </c>
      <c r="I1627" s="1">
        <v>2</v>
      </c>
      <c r="J1627" s="1">
        <v>2</v>
      </c>
      <c r="K1627" s="1">
        <v>2</v>
      </c>
      <c r="N1627" s="1">
        <v>1258</v>
      </c>
      <c r="O1627" s="1">
        <v>1258</v>
      </c>
      <c r="Q1627" s="1" t="s">
        <v>117</v>
      </c>
      <c r="S1627" s="1" t="s">
        <v>117</v>
      </c>
      <c r="T1627" s="1" t="s">
        <v>153</v>
      </c>
      <c r="U1627" s="1">
        <v>47</v>
      </c>
      <c r="V1627" s="5">
        <v>43649</v>
      </c>
      <c r="W1627" s="5">
        <v>43133</v>
      </c>
      <c r="X1627" s="1">
        <v>1100000</v>
      </c>
      <c r="Y1627" s="1">
        <v>1125000</v>
      </c>
      <c r="Z1627" s="5">
        <v>43180</v>
      </c>
      <c r="AA1627" s="1">
        <v>1100000</v>
      </c>
      <c r="AB1627" s="1" t="s">
        <v>1401</v>
      </c>
      <c r="AC1627" s="5">
        <v>43238</v>
      </c>
      <c r="AF1627" s="1">
        <v>10044</v>
      </c>
      <c r="AJ1627" s="1">
        <v>1975</v>
      </c>
      <c r="AK1627" s="1" t="s">
        <v>86</v>
      </c>
      <c r="AL1627" s="1">
        <v>400</v>
      </c>
    </row>
    <row r="1628" spans="1:38" x14ac:dyDescent="0.2">
      <c r="A1628" s="2" t="str">
        <f>HYPERLINK("https://www.compass.com/listing/575-main-street-unit-804-manhattan-ny-10044/70928225072608993/","575 Main St, Unit 804")</f>
        <v>575 Main St, Unit 804</v>
      </c>
      <c r="B1628" s="2" t="str">
        <f t="shared" si="251"/>
        <v>Island House</v>
      </c>
      <c r="C1628" s="1" t="s">
        <v>116</v>
      </c>
      <c r="D1628" s="1" t="s">
        <v>41</v>
      </c>
      <c r="E1628" s="3">
        <v>1100000</v>
      </c>
      <c r="F1628" s="1">
        <v>967.45822339489803</v>
      </c>
      <c r="G1628" s="1">
        <v>4</v>
      </c>
      <c r="H1628" s="1">
        <v>2</v>
      </c>
      <c r="I1628" s="1">
        <v>2</v>
      </c>
      <c r="J1628" s="1">
        <v>2</v>
      </c>
      <c r="K1628" s="1">
        <v>2</v>
      </c>
      <c r="M1628" s="4">
        <v>1137</v>
      </c>
      <c r="N1628" s="1">
        <v>1325</v>
      </c>
      <c r="O1628" s="1">
        <v>1325</v>
      </c>
      <c r="Q1628" s="1" t="s">
        <v>117</v>
      </c>
      <c r="S1628" s="1" t="s">
        <v>117</v>
      </c>
      <c r="T1628" s="1" t="s">
        <v>153</v>
      </c>
      <c r="U1628" s="1">
        <v>47</v>
      </c>
      <c r="V1628" s="5">
        <v>43642</v>
      </c>
      <c r="W1628" s="5">
        <v>43133</v>
      </c>
      <c r="X1628" s="1">
        <v>1100000</v>
      </c>
      <c r="Y1628" s="1">
        <v>1125000</v>
      </c>
      <c r="Z1628" s="5">
        <v>43180</v>
      </c>
      <c r="AA1628" s="1">
        <v>1100000</v>
      </c>
      <c r="AB1628" s="1" t="s">
        <v>177</v>
      </c>
      <c r="AC1628" s="5">
        <v>43239</v>
      </c>
      <c r="AF1628" s="1">
        <v>10044</v>
      </c>
      <c r="AJ1628" s="1">
        <v>1975</v>
      </c>
      <c r="AK1628" s="1" t="s">
        <v>86</v>
      </c>
      <c r="AL1628" s="1">
        <v>400</v>
      </c>
    </row>
    <row r="1629" spans="1:38" x14ac:dyDescent="0.2">
      <c r="A1629" s="2" t="str">
        <f>HYPERLINK("https://www.compass.com/listing/575-main-street-unit-1914-manhattan-ny-10044/29512727324053985/","575 Main St, Unit 1914")</f>
        <v>575 Main St, Unit 1914</v>
      </c>
      <c r="B1629" s="2" t="str">
        <f t="shared" si="251"/>
        <v>Island House</v>
      </c>
      <c r="C1629" s="1" t="s">
        <v>116</v>
      </c>
      <c r="D1629" s="1" t="s">
        <v>41</v>
      </c>
      <c r="E1629" s="3">
        <v>1595000</v>
      </c>
      <c r="F1629" s="1">
        <v>963.16425120772897</v>
      </c>
      <c r="G1629" s="1">
        <v>5</v>
      </c>
      <c r="H1629" s="1">
        <v>3</v>
      </c>
      <c r="I1629" s="1">
        <v>3</v>
      </c>
      <c r="J1629" s="1">
        <v>3</v>
      </c>
      <c r="K1629" s="1">
        <v>3</v>
      </c>
      <c r="M1629" s="4">
        <v>1656</v>
      </c>
      <c r="N1629" s="1">
        <v>1876</v>
      </c>
      <c r="O1629" s="1">
        <v>1876</v>
      </c>
      <c r="Q1629" s="1" t="s">
        <v>117</v>
      </c>
      <c r="S1629" s="1" t="s">
        <v>117</v>
      </c>
      <c r="T1629" s="1" t="s">
        <v>153</v>
      </c>
      <c r="V1629" s="5">
        <v>43649</v>
      </c>
      <c r="W1629" s="5">
        <v>43250</v>
      </c>
      <c r="X1629" s="1">
        <v>1595000</v>
      </c>
      <c r="Y1629" s="1">
        <v>1595000</v>
      </c>
      <c r="Z1629" s="5">
        <v>43250</v>
      </c>
      <c r="AA1629" s="1">
        <v>1595000</v>
      </c>
      <c r="AB1629" s="1" t="s">
        <v>177</v>
      </c>
      <c r="AC1629" s="5">
        <v>43291</v>
      </c>
      <c r="AF1629" s="1">
        <v>10044</v>
      </c>
      <c r="AJ1629" s="1">
        <v>1975</v>
      </c>
      <c r="AK1629" s="1" t="s">
        <v>86</v>
      </c>
      <c r="AL1629" s="1">
        <v>400</v>
      </c>
    </row>
    <row r="1630" spans="1:38" x14ac:dyDescent="0.2">
      <c r="A1630" s="2" t="str">
        <f>HYPERLINK("https://www.compass.com/listing/575-main-street-unit-1004-manhattan-ny-10044/4782111408911311793/","575 Main St, Unit 1004")</f>
        <v>575 Main St, Unit 1004</v>
      </c>
      <c r="B1630" s="2" t="str">
        <f t="shared" si="251"/>
        <v>Island House</v>
      </c>
      <c r="C1630" s="1" t="s">
        <v>116</v>
      </c>
      <c r="D1630" s="1" t="s">
        <v>41</v>
      </c>
      <c r="E1630" s="3">
        <v>1124129</v>
      </c>
      <c r="F1630" s="1">
        <v>988.67985927880295</v>
      </c>
      <c r="G1630" s="1">
        <v>5</v>
      </c>
      <c r="H1630" s="1">
        <v>2</v>
      </c>
      <c r="I1630" s="1">
        <v>2</v>
      </c>
      <c r="J1630" s="1">
        <v>2</v>
      </c>
      <c r="K1630" s="1">
        <v>2</v>
      </c>
      <c r="M1630" s="4">
        <v>1137</v>
      </c>
      <c r="N1630" s="1">
        <v>1283</v>
      </c>
      <c r="O1630" s="1">
        <v>1283</v>
      </c>
      <c r="Q1630" s="1" t="s">
        <v>117</v>
      </c>
      <c r="S1630" s="1" t="s">
        <v>117</v>
      </c>
      <c r="T1630" s="1" t="s">
        <v>153</v>
      </c>
      <c r="U1630" s="1">
        <v>128</v>
      </c>
      <c r="V1630" s="5">
        <v>43649</v>
      </c>
      <c r="W1630" s="5">
        <v>42941</v>
      </c>
      <c r="X1630" s="1">
        <v>1035000</v>
      </c>
      <c r="Y1630" s="1">
        <v>1035000</v>
      </c>
      <c r="Z1630" s="5">
        <v>43069</v>
      </c>
      <c r="AA1630" s="1">
        <v>1124129</v>
      </c>
      <c r="AB1630" s="1" t="s">
        <v>177</v>
      </c>
      <c r="AC1630" s="5">
        <v>43112</v>
      </c>
      <c r="AF1630" s="1">
        <v>10044</v>
      </c>
      <c r="AJ1630" s="1">
        <v>1975</v>
      </c>
      <c r="AK1630" s="1" t="s">
        <v>86</v>
      </c>
      <c r="AL1630" s="1">
        <v>400</v>
      </c>
    </row>
    <row r="1631" spans="1:38" x14ac:dyDescent="0.2">
      <c r="A1631" s="2" t="str">
        <f>HYPERLINK("https://www.compass.com/listing/575-main-street-unit-515-manhattan-ny-10044/4852326660856349473/","575 Main St, Unit 515")</f>
        <v>575 Main St, Unit 515</v>
      </c>
      <c r="B1631" s="2" t="str">
        <f t="shared" si="251"/>
        <v>Island House</v>
      </c>
      <c r="C1631" s="1" t="s">
        <v>116</v>
      </c>
      <c r="D1631" s="1" t="s">
        <v>41</v>
      </c>
      <c r="E1631" s="3">
        <v>1150000</v>
      </c>
      <c r="F1631" s="1">
        <v>717.40486587648104</v>
      </c>
      <c r="G1631" s="1">
        <v>6</v>
      </c>
      <c r="H1631" s="1">
        <v>3</v>
      </c>
      <c r="I1631" s="1">
        <v>2</v>
      </c>
      <c r="J1631" s="1">
        <v>2</v>
      </c>
      <c r="K1631" s="1">
        <v>2</v>
      </c>
      <c r="M1631" s="4">
        <v>1603</v>
      </c>
      <c r="N1631" s="1">
        <v>1739</v>
      </c>
      <c r="O1631" s="1">
        <v>1739</v>
      </c>
      <c r="Q1631" s="1" t="s">
        <v>117</v>
      </c>
      <c r="S1631" s="1" t="s">
        <v>117</v>
      </c>
      <c r="T1631" s="1" t="s">
        <v>153</v>
      </c>
      <c r="U1631" s="1">
        <v>56</v>
      </c>
      <c r="V1631" s="5">
        <v>43678</v>
      </c>
      <c r="W1631" s="5">
        <v>42160</v>
      </c>
      <c r="X1631" s="1">
        <v>1150000</v>
      </c>
      <c r="Y1631" s="1">
        <v>1150000</v>
      </c>
      <c r="Z1631" s="5">
        <v>42216</v>
      </c>
      <c r="AA1631" s="1">
        <v>1150000</v>
      </c>
      <c r="AB1631" s="1" t="s">
        <v>177</v>
      </c>
      <c r="AC1631" s="5">
        <v>42468</v>
      </c>
      <c r="AF1631" s="1">
        <v>10044</v>
      </c>
      <c r="AJ1631" s="1">
        <v>1975</v>
      </c>
      <c r="AK1631" s="1" t="s">
        <v>86</v>
      </c>
      <c r="AL1631" s="1">
        <v>400</v>
      </c>
    </row>
    <row r="1632" spans="1:38" x14ac:dyDescent="0.2">
      <c r="A1632" s="2" t="str">
        <f>HYPERLINK("https://www.compass.com/listing/575-main-street-unit-604-manhattan-ny-10044/4852288388528607761/","575 Main St, Unit 604")</f>
        <v>575 Main St, Unit 604</v>
      </c>
      <c r="B1632" s="2" t="str">
        <f t="shared" si="251"/>
        <v>Island House</v>
      </c>
      <c r="C1632" s="1" t="s">
        <v>116</v>
      </c>
      <c r="D1632" s="1" t="s">
        <v>41</v>
      </c>
      <c r="E1632" s="3">
        <v>1020000</v>
      </c>
      <c r="F1632" s="1">
        <v>897.09762532981495</v>
      </c>
      <c r="G1632" s="1">
        <v>5</v>
      </c>
      <c r="H1632" s="1">
        <v>2</v>
      </c>
      <c r="I1632" s="1">
        <v>2</v>
      </c>
      <c r="J1632" s="1">
        <v>2</v>
      </c>
      <c r="K1632" s="1">
        <v>2</v>
      </c>
      <c r="M1632" s="4">
        <v>1137</v>
      </c>
      <c r="N1632" s="1">
        <v>1235</v>
      </c>
      <c r="O1632" s="1">
        <v>1235</v>
      </c>
      <c r="Q1632" s="1" t="s">
        <v>117</v>
      </c>
      <c r="S1632" s="1" t="s">
        <v>117</v>
      </c>
      <c r="T1632" s="1" t="s">
        <v>153</v>
      </c>
      <c r="U1632" s="1">
        <v>156</v>
      </c>
      <c r="V1632" s="5">
        <v>43670</v>
      </c>
      <c r="W1632" s="5">
        <v>42712</v>
      </c>
      <c r="X1632" s="1">
        <v>1020000</v>
      </c>
      <c r="Y1632" s="1">
        <v>1020000</v>
      </c>
      <c r="Z1632" s="5">
        <v>42868</v>
      </c>
      <c r="AA1632" s="1">
        <v>1020000</v>
      </c>
      <c r="AB1632" s="1" t="s">
        <v>177</v>
      </c>
      <c r="AC1632" s="5">
        <v>42952</v>
      </c>
      <c r="AF1632" s="1">
        <v>10044</v>
      </c>
      <c r="AJ1632" s="1">
        <v>1975</v>
      </c>
      <c r="AK1632" s="1" t="s">
        <v>86</v>
      </c>
      <c r="AL1632" s="1">
        <v>400</v>
      </c>
    </row>
    <row r="1633" spans="1:38" x14ac:dyDescent="0.2">
      <c r="A1633" s="2" t="str">
        <f>HYPERLINK("https://www.compass.com/listing/575-main-street-unit-509-manhattan-ny-10044/688291270351015305/","575 Main St, Unit 509")</f>
        <v>575 Main St, Unit 509</v>
      </c>
      <c r="B1633" s="2" t="str">
        <f t="shared" si="251"/>
        <v>Island House</v>
      </c>
      <c r="C1633" s="1" t="s">
        <v>116</v>
      </c>
      <c r="D1633" s="1" t="s">
        <v>41</v>
      </c>
      <c r="E1633" s="3">
        <v>1275000</v>
      </c>
      <c r="F1633" s="1">
        <v>769.92753623188401</v>
      </c>
      <c r="G1633" s="1">
        <v>5</v>
      </c>
      <c r="H1633" s="1">
        <v>3</v>
      </c>
      <c r="I1633" s="1">
        <v>3</v>
      </c>
      <c r="J1633" s="1">
        <v>3</v>
      </c>
      <c r="K1633" s="1">
        <v>3</v>
      </c>
      <c r="M1633" s="4">
        <v>1656</v>
      </c>
      <c r="N1633" s="1">
        <v>1509</v>
      </c>
      <c r="O1633" s="1">
        <v>1509</v>
      </c>
      <c r="Q1633" s="1" t="s">
        <v>117</v>
      </c>
      <c r="S1633" s="1" t="s">
        <v>117</v>
      </c>
      <c r="T1633" s="1" t="s">
        <v>153</v>
      </c>
      <c r="U1633" s="1">
        <v>99</v>
      </c>
      <c r="V1633" s="5">
        <v>44385</v>
      </c>
      <c r="W1633" s="5">
        <v>44210</v>
      </c>
      <c r="X1633" s="1">
        <v>1275000</v>
      </c>
      <c r="Y1633" s="1">
        <v>1275000</v>
      </c>
      <c r="Z1633" s="5">
        <v>44310</v>
      </c>
      <c r="AA1633" s="1">
        <v>1275000</v>
      </c>
      <c r="AB1633" s="1" t="s">
        <v>177</v>
      </c>
      <c r="AC1633" s="5">
        <v>44349</v>
      </c>
      <c r="AF1633" s="1">
        <v>10044</v>
      </c>
      <c r="AJ1633" s="1">
        <v>1975</v>
      </c>
      <c r="AK1633" s="1" t="s">
        <v>86</v>
      </c>
      <c r="AL1633" s="1">
        <v>400</v>
      </c>
    </row>
    <row r="1634" spans="1:38" x14ac:dyDescent="0.2">
      <c r="A1634" s="2" t="str">
        <f>HYPERLINK("https://www.compass.com/listing/575-main-street-unit-715-manhattan-ny-10044/4859962753843994641/","575 Main St, Unit 715")</f>
        <v>575 Main St, Unit 715</v>
      </c>
      <c r="B1634" s="2" t="str">
        <f t="shared" si="251"/>
        <v>Island House</v>
      </c>
      <c r="C1634" s="1" t="s">
        <v>116</v>
      </c>
      <c r="D1634" s="1" t="s">
        <v>41</v>
      </c>
      <c r="E1634" s="3">
        <v>1350000</v>
      </c>
      <c r="F1634" s="1">
        <v>842.17092950717404</v>
      </c>
      <c r="G1634" s="1">
        <v>5.5</v>
      </c>
      <c r="H1634" s="1">
        <v>3</v>
      </c>
      <c r="I1634" s="1">
        <v>2</v>
      </c>
      <c r="J1634" s="1">
        <v>2.5</v>
      </c>
      <c r="K1634" s="1">
        <v>2</v>
      </c>
      <c r="L1634" s="1">
        <v>1</v>
      </c>
      <c r="M1634" s="4">
        <v>1603</v>
      </c>
      <c r="N1634" s="1">
        <v>1684</v>
      </c>
      <c r="O1634" s="1">
        <v>1684</v>
      </c>
      <c r="Q1634" s="1" t="s">
        <v>117</v>
      </c>
      <c r="S1634" s="1" t="s">
        <v>117</v>
      </c>
      <c r="T1634" s="1" t="s">
        <v>153</v>
      </c>
      <c r="U1634" s="1">
        <v>119</v>
      </c>
      <c r="V1634" s="5">
        <v>43641</v>
      </c>
      <c r="W1634" s="5">
        <v>43076</v>
      </c>
      <c r="X1634" s="1">
        <v>1350000</v>
      </c>
      <c r="Y1634" s="1">
        <v>1350000</v>
      </c>
      <c r="Z1634" s="5">
        <v>43195</v>
      </c>
      <c r="AA1634" s="1">
        <v>1350000</v>
      </c>
      <c r="AB1634" s="1" t="s">
        <v>177</v>
      </c>
      <c r="AC1634" s="5">
        <v>43225</v>
      </c>
      <c r="AF1634" s="1">
        <v>10044</v>
      </c>
      <c r="AJ1634" s="1">
        <v>1975</v>
      </c>
      <c r="AK1634" s="1" t="s">
        <v>86</v>
      </c>
      <c r="AL1634" s="1">
        <v>400</v>
      </c>
    </row>
    <row r="1635" spans="1:38" x14ac:dyDescent="0.2">
      <c r="A1635" s="2" t="str">
        <f>HYPERLINK("https://www.compass.com/listing/575-main-street-unit-714-manhattan-ny-10044/262079412541887297/","575 Main St, Unit 714")</f>
        <v>575 Main St, Unit 714</v>
      </c>
      <c r="B1635" s="2" t="str">
        <f t="shared" si="251"/>
        <v>Island House</v>
      </c>
      <c r="C1635" s="1" t="s">
        <v>116</v>
      </c>
      <c r="D1635" s="1" t="s">
        <v>41</v>
      </c>
      <c r="E1635" s="3">
        <v>1310000</v>
      </c>
      <c r="F1635" s="1">
        <v>791.06280193236705</v>
      </c>
      <c r="G1635" s="1">
        <v>7</v>
      </c>
      <c r="H1635" s="1">
        <v>3</v>
      </c>
      <c r="I1635" s="1">
        <v>3</v>
      </c>
      <c r="J1635" s="1">
        <v>3</v>
      </c>
      <c r="K1635" s="1">
        <v>3</v>
      </c>
      <c r="M1635" s="4">
        <v>1656</v>
      </c>
      <c r="N1635" s="1">
        <v>1685</v>
      </c>
      <c r="O1635" s="1">
        <v>1685</v>
      </c>
      <c r="Q1635" s="1" t="s">
        <v>117</v>
      </c>
      <c r="S1635" s="1" t="s">
        <v>117</v>
      </c>
      <c r="T1635" s="1" t="s">
        <v>153</v>
      </c>
      <c r="U1635" s="1">
        <v>354</v>
      </c>
      <c r="V1635" s="5">
        <v>44426</v>
      </c>
      <c r="W1635" s="5">
        <v>44019</v>
      </c>
      <c r="X1635" s="1">
        <v>1445000</v>
      </c>
      <c r="Y1635" s="1">
        <v>1350000</v>
      </c>
      <c r="Z1635" s="5">
        <v>44376</v>
      </c>
      <c r="AA1635" s="1">
        <v>1310000</v>
      </c>
      <c r="AB1635" s="1" t="s">
        <v>177</v>
      </c>
      <c r="AC1635" s="5">
        <v>44419</v>
      </c>
      <c r="AF1635" s="1">
        <v>10044</v>
      </c>
      <c r="AI1635" s="1" t="s">
        <v>66</v>
      </c>
      <c r="AJ1635" s="1">
        <v>1975</v>
      </c>
      <c r="AK1635" s="1" t="s">
        <v>86</v>
      </c>
      <c r="AL1635" s="1">
        <v>400</v>
      </c>
    </row>
    <row r="1636" spans="1:38" x14ac:dyDescent="0.2">
      <c r="A1636" s="2" t="str">
        <f>HYPERLINK("https://www.compass.com/listing/575-main-street-unit-1807-manhattan-ny-10044/4790079748455825377/","575 Main St, Unit 1807")</f>
        <v>575 Main St, Unit 1807</v>
      </c>
      <c r="B1636" s="2" t="str">
        <f t="shared" si="251"/>
        <v>Island House</v>
      </c>
      <c r="C1636" s="1" t="s">
        <v>116</v>
      </c>
      <c r="D1636" s="1" t="s">
        <v>41</v>
      </c>
      <c r="E1636" s="3">
        <v>895000</v>
      </c>
      <c r="G1636" s="1">
        <v>4</v>
      </c>
      <c r="H1636" s="1">
        <v>2</v>
      </c>
      <c r="I1636" s="1">
        <v>2</v>
      </c>
      <c r="J1636" s="1">
        <v>2</v>
      </c>
      <c r="K1636" s="1">
        <v>2</v>
      </c>
      <c r="N1636" s="1">
        <v>1221</v>
      </c>
      <c r="O1636" s="1">
        <v>1221</v>
      </c>
      <c r="Q1636" s="1" t="s">
        <v>117</v>
      </c>
      <c r="S1636" s="1" t="s">
        <v>117</v>
      </c>
      <c r="T1636" s="1" t="s">
        <v>153</v>
      </c>
      <c r="V1636" s="5">
        <v>43650</v>
      </c>
      <c r="W1636" s="5">
        <v>43082</v>
      </c>
      <c r="X1636" s="1">
        <v>895000</v>
      </c>
      <c r="Y1636" s="1">
        <v>895000</v>
      </c>
      <c r="Z1636" s="5">
        <v>43082</v>
      </c>
      <c r="AA1636" s="1">
        <v>895000</v>
      </c>
      <c r="AB1636" s="1" t="s">
        <v>177</v>
      </c>
      <c r="AC1636" s="5">
        <v>43126</v>
      </c>
      <c r="AF1636" s="1">
        <v>10044</v>
      </c>
      <c r="AJ1636" s="1">
        <v>1975</v>
      </c>
      <c r="AK1636" s="1" t="s">
        <v>86</v>
      </c>
      <c r="AL1636" s="1">
        <v>400</v>
      </c>
    </row>
    <row r="1637" spans="1:38" x14ac:dyDescent="0.2">
      <c r="A1637" s="2" t="str">
        <f>HYPERLINK("https://www.compass.com/listing/575-main-street-unit-606-manhattan-ny-10044/4852265433455137777/","575 Main St, Unit 606")</f>
        <v>575 Main St, Unit 606</v>
      </c>
      <c r="B1637" s="2" t="str">
        <f t="shared" si="251"/>
        <v>Island House</v>
      </c>
      <c r="C1637" s="1" t="s">
        <v>116</v>
      </c>
      <c r="D1637" s="1" t="s">
        <v>41</v>
      </c>
      <c r="E1637" s="3">
        <v>835000</v>
      </c>
      <c r="G1637" s="1">
        <v>4</v>
      </c>
      <c r="H1637" s="1">
        <v>2</v>
      </c>
      <c r="I1637" s="1">
        <v>2</v>
      </c>
      <c r="J1637" s="1">
        <v>2</v>
      </c>
      <c r="K1637" s="1">
        <v>2</v>
      </c>
      <c r="N1637" s="1">
        <v>1096</v>
      </c>
      <c r="O1637" s="1">
        <v>1096</v>
      </c>
      <c r="Q1637" s="1" t="s">
        <v>117</v>
      </c>
      <c r="S1637" s="1" t="s">
        <v>117</v>
      </c>
      <c r="T1637" s="1" t="s">
        <v>153</v>
      </c>
      <c r="V1637" s="5">
        <v>43664</v>
      </c>
      <c r="W1637" s="5">
        <v>42735</v>
      </c>
      <c r="X1637" s="1">
        <v>835000</v>
      </c>
      <c r="Y1637" s="1">
        <v>835000</v>
      </c>
      <c r="Z1637" s="5">
        <v>42735</v>
      </c>
      <c r="AA1637" s="1">
        <v>835000</v>
      </c>
      <c r="AB1637" s="1" t="s">
        <v>177</v>
      </c>
      <c r="AC1637" s="5">
        <v>42825</v>
      </c>
      <c r="AF1637" s="1">
        <v>10044</v>
      </c>
      <c r="AJ1637" s="1">
        <v>1975</v>
      </c>
      <c r="AK1637" s="1" t="s">
        <v>86</v>
      </c>
      <c r="AL1637" s="1">
        <v>400</v>
      </c>
    </row>
    <row r="1638" spans="1:38" x14ac:dyDescent="0.2">
      <c r="A1638" s="2" t="str">
        <f>HYPERLINK("https://www.compass.com/listing/506-east-119th-street-unit-2-manhattan-ny-10035/29514241887202129/","506 E 119th St, Unit 2")</f>
        <v>506 E 119th St, Unit 2</v>
      </c>
      <c r="B1638" s="2" t="str">
        <f t="shared" ref="B1638:B1642" si="252">HYPERLINK("https://www.compass.com/building/506-e-119th-st-manhattan-ny-10035/282022266961665733/","506 E 119th St")</f>
        <v>506 E 119th St</v>
      </c>
      <c r="C1638" s="1" t="s">
        <v>226</v>
      </c>
      <c r="D1638" s="1" t="s">
        <v>41</v>
      </c>
      <c r="E1638" s="3">
        <v>750000</v>
      </c>
      <c r="F1638" s="1">
        <v>625</v>
      </c>
      <c r="G1638" s="1">
        <v>5</v>
      </c>
      <c r="H1638" s="1">
        <v>3</v>
      </c>
      <c r="I1638" s="1">
        <v>2</v>
      </c>
      <c r="J1638" s="1">
        <v>2</v>
      </c>
      <c r="K1638" s="1">
        <v>2</v>
      </c>
      <c r="M1638" s="4">
        <v>1200</v>
      </c>
      <c r="N1638" s="1">
        <v>60</v>
      </c>
      <c r="O1638" s="1">
        <v>137</v>
      </c>
      <c r="P1638" s="1">
        <v>77</v>
      </c>
      <c r="Q1638" s="1" t="s">
        <v>42</v>
      </c>
      <c r="S1638" s="1" t="s">
        <v>42</v>
      </c>
      <c r="T1638" s="1" t="s">
        <v>153</v>
      </c>
      <c r="V1638" s="5">
        <v>44400</v>
      </c>
      <c r="W1638" s="5">
        <v>41976</v>
      </c>
      <c r="X1638" s="1">
        <v>750000</v>
      </c>
      <c r="Y1638" s="1">
        <v>750000</v>
      </c>
      <c r="Z1638" s="5">
        <v>41976</v>
      </c>
      <c r="AA1638" s="1">
        <v>750000</v>
      </c>
      <c r="AB1638" s="1" t="s">
        <v>1402</v>
      </c>
      <c r="AC1638" s="5">
        <v>42018</v>
      </c>
      <c r="AF1638" s="1">
        <v>10035</v>
      </c>
      <c r="AI1638" s="1" t="s">
        <v>96</v>
      </c>
      <c r="AJ1638" s="1">
        <v>1900</v>
      </c>
      <c r="AL1638" s="1">
        <v>4</v>
      </c>
    </row>
    <row r="1639" spans="1:38" x14ac:dyDescent="0.2">
      <c r="A1639" s="2" t="str">
        <f>HYPERLINK("https://www.compass.com/listing/506-east-119th-street-unit-3-manhattan-ny-10035/4852316359561841713/","506 E 119th St, Unit 3")</f>
        <v>506 E 119th St, Unit 3</v>
      </c>
      <c r="B1639" s="2" t="str">
        <f t="shared" si="252"/>
        <v>506 E 119th St</v>
      </c>
      <c r="C1639" s="1" t="s">
        <v>226</v>
      </c>
      <c r="D1639" s="1" t="s">
        <v>41</v>
      </c>
      <c r="E1639" s="3">
        <v>699000</v>
      </c>
      <c r="F1639" s="1">
        <v>582.5</v>
      </c>
      <c r="G1639" s="1">
        <v>5</v>
      </c>
      <c r="H1639" s="1">
        <v>3</v>
      </c>
      <c r="I1639" s="1">
        <v>2</v>
      </c>
      <c r="J1639" s="1">
        <v>2</v>
      </c>
      <c r="M1639" s="4">
        <v>1200</v>
      </c>
      <c r="N1639" s="1">
        <v>60</v>
      </c>
      <c r="O1639" s="1">
        <v>137</v>
      </c>
      <c r="P1639" s="1">
        <v>77</v>
      </c>
      <c r="Q1639" s="1" t="s">
        <v>42</v>
      </c>
      <c r="S1639" s="1" t="s">
        <v>42</v>
      </c>
      <c r="T1639" s="1" t="s">
        <v>153</v>
      </c>
      <c r="U1639" s="1">
        <v>6</v>
      </c>
      <c r="V1639" s="5">
        <v>43656</v>
      </c>
      <c r="W1639" s="5">
        <v>41874</v>
      </c>
      <c r="X1639" s="1">
        <v>699000</v>
      </c>
      <c r="Y1639" s="1">
        <v>699000</v>
      </c>
      <c r="Z1639" s="5">
        <v>41880</v>
      </c>
      <c r="AA1639" s="1">
        <v>699000</v>
      </c>
      <c r="AB1639" s="1" t="s">
        <v>1403</v>
      </c>
      <c r="AC1639" s="5">
        <v>41979</v>
      </c>
      <c r="AF1639" s="1">
        <v>10035</v>
      </c>
      <c r="AI1639" s="1" t="s">
        <v>96</v>
      </c>
      <c r="AJ1639" s="1">
        <v>1900</v>
      </c>
      <c r="AL1639" s="1">
        <v>4</v>
      </c>
    </row>
    <row r="1640" spans="1:38" x14ac:dyDescent="0.2">
      <c r="A1640" s="2" t="str">
        <f>HYPERLINK("https://www.compass.com/listing/506-east-119th-street-unit-ph-manhattan-ny-10035/192569919521491185/","506 E 119th St, Unit PH")</f>
        <v>506 E 119th St, Unit PH</v>
      </c>
      <c r="B1640" s="2" t="str">
        <f t="shared" si="252"/>
        <v>506 E 119th St</v>
      </c>
      <c r="C1640" s="1" t="s">
        <v>226</v>
      </c>
      <c r="D1640" s="1" t="s">
        <v>41</v>
      </c>
      <c r="E1640" s="3">
        <v>779000</v>
      </c>
      <c r="F1640" s="1">
        <v>649.16666666666595</v>
      </c>
      <c r="G1640" s="1">
        <v>5</v>
      </c>
      <c r="H1640" s="1">
        <v>3</v>
      </c>
      <c r="I1640" s="1">
        <v>2</v>
      </c>
      <c r="J1640" s="1">
        <v>2</v>
      </c>
      <c r="M1640" s="4">
        <v>1200</v>
      </c>
      <c r="N1640" s="1">
        <v>60</v>
      </c>
      <c r="O1640" s="1">
        <v>137</v>
      </c>
      <c r="P1640" s="1">
        <v>77</v>
      </c>
      <c r="Q1640" s="1" t="s">
        <v>42</v>
      </c>
      <c r="S1640" s="1" t="s">
        <v>42</v>
      </c>
      <c r="T1640" s="1" t="s">
        <v>153</v>
      </c>
      <c r="U1640" s="1">
        <v>218</v>
      </c>
      <c r="V1640" s="5">
        <v>43654</v>
      </c>
      <c r="W1640" s="5">
        <v>41828</v>
      </c>
      <c r="X1640" s="1">
        <v>600000</v>
      </c>
      <c r="Y1640" s="1">
        <v>779000</v>
      </c>
      <c r="Z1640" s="5">
        <v>42047</v>
      </c>
      <c r="AA1640" s="1">
        <v>779000</v>
      </c>
      <c r="AB1640" s="1" t="s">
        <v>177</v>
      </c>
      <c r="AC1640" s="5">
        <v>42124</v>
      </c>
      <c r="AF1640" s="1">
        <v>10035</v>
      </c>
      <c r="AI1640" s="1" t="s">
        <v>1404</v>
      </c>
      <c r="AJ1640" s="1">
        <v>1900</v>
      </c>
      <c r="AL1640" s="1">
        <v>4</v>
      </c>
    </row>
    <row r="1641" spans="1:38" x14ac:dyDescent="0.2">
      <c r="A1641" s="2" t="str">
        <f>HYPERLINK("https://www.compass.com/listing/506-east-119th-street-unit-1-manhattan-ny-10035/4852316643944047361/","506 E 119th St, Unit 1")</f>
        <v>506 E 119th St, Unit 1</v>
      </c>
      <c r="B1641" s="2" t="str">
        <f t="shared" si="252"/>
        <v>506 E 119th St</v>
      </c>
      <c r="C1641" s="1" t="s">
        <v>226</v>
      </c>
      <c r="D1641" s="1" t="s">
        <v>41</v>
      </c>
      <c r="E1641" s="3">
        <v>980000</v>
      </c>
      <c r="F1641" s="1">
        <v>576.47058823529403</v>
      </c>
      <c r="G1641" s="1">
        <v>5</v>
      </c>
      <c r="H1641" s="1">
        <v>3</v>
      </c>
      <c r="I1641" s="1">
        <v>2</v>
      </c>
      <c r="J1641" s="1">
        <v>2</v>
      </c>
      <c r="M1641" s="4">
        <v>1700</v>
      </c>
      <c r="N1641" s="1">
        <v>60</v>
      </c>
      <c r="O1641" s="1">
        <v>137</v>
      </c>
      <c r="P1641" s="1">
        <v>77</v>
      </c>
      <c r="Q1641" s="1" t="s">
        <v>42</v>
      </c>
      <c r="S1641" s="1" t="s">
        <v>42</v>
      </c>
      <c r="T1641" s="1" t="s">
        <v>153</v>
      </c>
      <c r="V1641" s="5">
        <v>43654</v>
      </c>
      <c r="W1641" s="5">
        <v>41976</v>
      </c>
      <c r="X1641" s="1">
        <v>980000</v>
      </c>
      <c r="Y1641" s="1">
        <v>980000</v>
      </c>
      <c r="Z1641" s="5">
        <v>41976</v>
      </c>
      <c r="AA1641" s="1">
        <v>980000</v>
      </c>
      <c r="AB1641" s="1" t="s">
        <v>1405</v>
      </c>
      <c r="AC1641" s="5">
        <v>42013</v>
      </c>
      <c r="AF1641" s="1">
        <v>10035</v>
      </c>
      <c r="AI1641" s="1" t="s">
        <v>120</v>
      </c>
      <c r="AJ1641" s="1">
        <v>1900</v>
      </c>
      <c r="AL1641" s="1">
        <v>4</v>
      </c>
    </row>
    <row r="1642" spans="1:38" x14ac:dyDescent="0.2">
      <c r="A1642" s="2" t="str">
        <f>HYPERLINK("https://www.compass.com/listing/506-east-119th-street-unit-4-manhattan-ny-10035/4703741639724651089/","506 E 119th St, Unit 4")</f>
        <v>506 E 119th St, Unit 4</v>
      </c>
      <c r="B1642" s="2" t="str">
        <f t="shared" si="252"/>
        <v>506 E 119th St</v>
      </c>
      <c r="C1642" s="1" t="s">
        <v>226</v>
      </c>
      <c r="D1642" s="1" t="s">
        <v>41</v>
      </c>
      <c r="E1642" s="3">
        <v>775000</v>
      </c>
      <c r="F1642" s="1">
        <v>645.83333333333303</v>
      </c>
      <c r="G1642" s="1">
        <v>5</v>
      </c>
      <c r="H1642" s="1">
        <v>3</v>
      </c>
      <c r="I1642" s="1">
        <v>2</v>
      </c>
      <c r="J1642" s="1">
        <v>2</v>
      </c>
      <c r="M1642" s="4">
        <v>1200</v>
      </c>
      <c r="N1642" s="1">
        <v>60</v>
      </c>
      <c r="O1642" s="1">
        <v>137</v>
      </c>
      <c r="P1642" s="1">
        <v>77</v>
      </c>
      <c r="Q1642" s="1" t="s">
        <v>42</v>
      </c>
      <c r="S1642" s="1" t="s">
        <v>42</v>
      </c>
      <c r="T1642" s="1" t="s">
        <v>153</v>
      </c>
      <c r="U1642" s="1">
        <v>255</v>
      </c>
      <c r="V1642" s="5">
        <v>41640</v>
      </c>
      <c r="W1642" s="5">
        <v>41831</v>
      </c>
      <c r="X1642" s="1">
        <v>600000</v>
      </c>
      <c r="Y1642" s="1">
        <v>779000</v>
      </c>
      <c r="Z1642" s="5">
        <v>42105</v>
      </c>
      <c r="AA1642" s="1">
        <v>775000</v>
      </c>
      <c r="AB1642" s="1" t="s">
        <v>1406</v>
      </c>
      <c r="AC1642" s="5">
        <v>42118</v>
      </c>
      <c r="AF1642" s="1">
        <v>10035</v>
      </c>
      <c r="AI1642" s="1" t="s">
        <v>1407</v>
      </c>
      <c r="AJ1642" s="1">
        <v>1900</v>
      </c>
      <c r="AL1642" s="1">
        <v>4</v>
      </c>
    </row>
    <row r="1643" spans="1:38" x14ac:dyDescent="0.2">
      <c r="A1643" s="2" t="str">
        <f>HYPERLINK("https://www.compass.com/listing/10-madison-square-west-unit-2d-manhattan-ny-10010/29374712668819857/","10 Madison Sq W, Unit 2D")</f>
        <v>10 Madison Sq W, Unit 2D</v>
      </c>
      <c r="B1643" s="2" t="str">
        <f t="shared" ref="B1643:B1684" si="253">HYPERLINK("https://www.compass.com/building/10-madison-square-west-manhattan-ny/294838725091521285/","10 Madison Square West")</f>
        <v>10 Madison Square West</v>
      </c>
      <c r="C1643" s="1" t="s">
        <v>56</v>
      </c>
      <c r="D1643" s="1" t="s">
        <v>41</v>
      </c>
      <c r="E1643" s="3">
        <v>4250000</v>
      </c>
      <c r="F1643" s="1">
        <v>2514.7928994082799</v>
      </c>
      <c r="G1643" s="1">
        <v>5</v>
      </c>
      <c r="H1643" s="1">
        <v>2</v>
      </c>
      <c r="I1643" s="1">
        <v>3</v>
      </c>
      <c r="J1643" s="1">
        <v>2.5</v>
      </c>
      <c r="M1643" s="4">
        <v>1690</v>
      </c>
      <c r="N1643" s="1">
        <v>2123</v>
      </c>
      <c r="O1643" s="1">
        <v>5414</v>
      </c>
      <c r="P1643" s="1">
        <v>3291</v>
      </c>
      <c r="Q1643" s="1" t="s">
        <v>42</v>
      </c>
      <c r="S1643" s="1" t="s">
        <v>42</v>
      </c>
      <c r="T1643" s="1" t="s">
        <v>153</v>
      </c>
      <c r="U1643" s="1">
        <v>115</v>
      </c>
      <c r="V1643" s="5">
        <v>43654</v>
      </c>
      <c r="W1643" s="5">
        <v>43032</v>
      </c>
      <c r="X1643" s="1">
        <v>4795000</v>
      </c>
      <c r="Y1643" s="1">
        <v>4500000</v>
      </c>
      <c r="Z1643" s="5">
        <v>43147</v>
      </c>
      <c r="AA1643" s="1">
        <v>4250000</v>
      </c>
      <c r="AB1643" s="1" t="s">
        <v>1408</v>
      </c>
      <c r="AC1643" s="5">
        <v>43220</v>
      </c>
      <c r="AF1643" s="1">
        <v>10010</v>
      </c>
      <c r="AI1643" s="1" t="s">
        <v>45</v>
      </c>
      <c r="AJ1643" s="1">
        <v>1915</v>
      </c>
      <c r="AK1643" s="1" t="s">
        <v>49</v>
      </c>
      <c r="AL1643" s="1">
        <v>125</v>
      </c>
    </row>
    <row r="1644" spans="1:38" x14ac:dyDescent="0.2">
      <c r="A1644" s="2" t="str">
        <f>HYPERLINK("https://www.compass.com/listing/10-madison-square-west-unit-15c-manhattan-ny-10010/644225380869507097/","10 Madison Sq W, Unit 15C")</f>
        <v>10 Madison Sq W, Unit 15C</v>
      </c>
      <c r="B1644" s="2" t="str">
        <f t="shared" si="253"/>
        <v>10 Madison Square West</v>
      </c>
      <c r="D1644" s="1" t="s">
        <v>41</v>
      </c>
      <c r="E1644" s="3">
        <v>4215000</v>
      </c>
      <c r="G1644" s="1">
        <v>4</v>
      </c>
      <c r="H1644" s="1">
        <v>2</v>
      </c>
      <c r="I1644" s="1">
        <v>3</v>
      </c>
      <c r="J1644" s="1">
        <v>2.5</v>
      </c>
      <c r="K1644" s="1">
        <v>2</v>
      </c>
      <c r="L1644" s="1">
        <v>1</v>
      </c>
      <c r="N1644" s="1">
        <v>2235</v>
      </c>
      <c r="O1644" s="1">
        <v>6022</v>
      </c>
      <c r="P1644" s="1">
        <v>3787</v>
      </c>
      <c r="Q1644" s="1" t="s">
        <v>42</v>
      </c>
      <c r="S1644" s="1" t="s">
        <v>42</v>
      </c>
      <c r="T1644" s="1" t="s">
        <v>153</v>
      </c>
      <c r="U1644" s="1">
        <v>198</v>
      </c>
      <c r="V1644" s="5">
        <v>44399</v>
      </c>
      <c r="W1644" s="5">
        <v>44140</v>
      </c>
      <c r="X1644" s="1">
        <v>4795000</v>
      </c>
      <c r="Y1644" s="1">
        <v>4495000</v>
      </c>
      <c r="Z1644" s="5">
        <v>44342</v>
      </c>
      <c r="AA1644" s="1">
        <v>4215000</v>
      </c>
      <c r="AB1644" s="1" t="s">
        <v>1409</v>
      </c>
      <c r="AC1644" s="5">
        <v>44397</v>
      </c>
      <c r="AF1644" s="1">
        <v>10010</v>
      </c>
      <c r="AI1644" s="1" t="s">
        <v>45</v>
      </c>
      <c r="AJ1644" s="1">
        <v>1915</v>
      </c>
      <c r="AK1644" s="1" t="s">
        <v>46</v>
      </c>
      <c r="AL1644" s="1">
        <v>125</v>
      </c>
    </row>
    <row r="1645" spans="1:38" x14ac:dyDescent="0.2">
      <c r="A1645" s="2" t="str">
        <f>HYPERLINK("https://www.compass.com/listing/10-madison-square-west-unit-17c-manhattan-ny-10010/114656563230235857/","10 Madison Sq W, Unit 17C")</f>
        <v>10 Madison Sq W, Unit 17C</v>
      </c>
      <c r="B1645" s="2" t="str">
        <f t="shared" si="253"/>
        <v>10 Madison Square West</v>
      </c>
      <c r="D1645" s="1" t="s">
        <v>41</v>
      </c>
      <c r="E1645" s="3">
        <v>4850000</v>
      </c>
      <c r="F1645" s="1">
        <v>2726.2507026419298</v>
      </c>
      <c r="G1645" s="1">
        <v>4.5</v>
      </c>
      <c r="H1645" s="1">
        <v>2</v>
      </c>
      <c r="I1645" s="1">
        <v>3</v>
      </c>
      <c r="J1645" s="1">
        <v>2.5</v>
      </c>
      <c r="K1645" s="1">
        <v>2</v>
      </c>
      <c r="L1645" s="1">
        <v>1</v>
      </c>
      <c r="M1645" s="4">
        <v>1779</v>
      </c>
      <c r="N1645" s="1">
        <v>2228</v>
      </c>
      <c r="O1645" s="1">
        <v>5779</v>
      </c>
      <c r="P1645" s="1">
        <v>3551</v>
      </c>
      <c r="Q1645" s="1" t="s">
        <v>42</v>
      </c>
      <c r="S1645" s="1" t="s">
        <v>42</v>
      </c>
      <c r="T1645" s="1" t="s">
        <v>153</v>
      </c>
      <c r="U1645" s="1">
        <v>36</v>
      </c>
      <c r="V1645" s="5">
        <v>43558</v>
      </c>
      <c r="W1645" s="5">
        <v>43409</v>
      </c>
      <c r="X1645" s="1">
        <v>5325000</v>
      </c>
      <c r="Y1645" s="1">
        <v>5325000</v>
      </c>
      <c r="Z1645" s="5">
        <v>43446</v>
      </c>
      <c r="AA1645" s="1">
        <v>4850000</v>
      </c>
      <c r="AB1645" s="1" t="s">
        <v>1410</v>
      </c>
      <c r="AC1645" s="5">
        <v>43509</v>
      </c>
      <c r="AF1645" s="1">
        <v>10010</v>
      </c>
      <c r="AI1645" s="1" t="s">
        <v>45</v>
      </c>
      <c r="AJ1645" s="1">
        <v>1915</v>
      </c>
      <c r="AK1645" s="1" t="s">
        <v>46</v>
      </c>
      <c r="AL1645" s="1">
        <v>125</v>
      </c>
    </row>
    <row r="1646" spans="1:38" x14ac:dyDescent="0.2">
      <c r="A1646" s="2" t="str">
        <f>HYPERLINK("https://www.compass.com/listing/10-madison-square-west-unit-6d-manhattan-ny-10010/29374724362539697/","10 Madison Sq W, Unit 6D")</f>
        <v>10 Madison Sq W, Unit 6D</v>
      </c>
      <c r="B1646" s="2" t="str">
        <f t="shared" si="253"/>
        <v>10 Madison Square West</v>
      </c>
      <c r="D1646" s="1" t="s">
        <v>41</v>
      </c>
      <c r="E1646" s="3">
        <v>4100000</v>
      </c>
      <c r="F1646" s="1">
        <v>2426.0355029585799</v>
      </c>
      <c r="G1646" s="1">
        <v>4</v>
      </c>
      <c r="H1646" s="1">
        <v>2</v>
      </c>
      <c r="I1646" s="1">
        <v>2</v>
      </c>
      <c r="J1646" s="1">
        <v>2</v>
      </c>
      <c r="K1646" s="1">
        <v>2</v>
      </c>
      <c r="M1646" s="4">
        <v>1690</v>
      </c>
      <c r="N1646" s="1">
        <v>2122.92</v>
      </c>
      <c r="O1646" s="1">
        <v>4012.92</v>
      </c>
      <c r="P1646" s="1">
        <v>1890</v>
      </c>
      <c r="Q1646" s="1" t="s">
        <v>42</v>
      </c>
      <c r="S1646" s="1" t="s">
        <v>42</v>
      </c>
      <c r="T1646" s="1" t="s">
        <v>153</v>
      </c>
      <c r="U1646" s="1">
        <v>151</v>
      </c>
      <c r="V1646" s="5">
        <v>42722</v>
      </c>
      <c r="W1646" s="5">
        <v>42365</v>
      </c>
      <c r="X1646" s="1">
        <v>4875000</v>
      </c>
      <c r="Y1646" s="1">
        <v>4400000</v>
      </c>
      <c r="Z1646" s="5">
        <v>42517</v>
      </c>
      <c r="AA1646" s="1">
        <v>4100000</v>
      </c>
      <c r="AB1646" s="1" t="s">
        <v>1411</v>
      </c>
      <c r="AC1646" s="5">
        <v>42538</v>
      </c>
      <c r="AF1646" s="1">
        <v>10010</v>
      </c>
      <c r="AI1646" s="1" t="s">
        <v>45</v>
      </c>
      <c r="AJ1646" s="1">
        <v>1915</v>
      </c>
      <c r="AK1646" s="1" t="s">
        <v>46</v>
      </c>
      <c r="AL1646" s="1">
        <v>125</v>
      </c>
    </row>
    <row r="1647" spans="1:38" x14ac:dyDescent="0.2">
      <c r="A1647" s="2" t="str">
        <f>HYPERLINK("https://www.compass.com/listing/10-madison-square-west-unit-5f-manhattan-ny-10010/29374722181501569/","10 Madison Sq W, Unit 5F")</f>
        <v>10 Madison Sq W, Unit 5F</v>
      </c>
      <c r="B1647" s="2" t="str">
        <f t="shared" si="253"/>
        <v>10 Madison Square West</v>
      </c>
      <c r="D1647" s="1" t="s">
        <v>41</v>
      </c>
      <c r="E1647" s="3">
        <v>8650000</v>
      </c>
      <c r="F1647" s="1">
        <v>3617.7331660393102</v>
      </c>
      <c r="G1647" s="1">
        <v>6</v>
      </c>
      <c r="H1647" s="1">
        <v>3</v>
      </c>
      <c r="I1647" s="1">
        <v>3</v>
      </c>
      <c r="J1647" s="1">
        <v>3</v>
      </c>
      <c r="M1647" s="4">
        <v>2391</v>
      </c>
      <c r="N1647" s="1">
        <v>3100</v>
      </c>
      <c r="O1647" s="1">
        <v>5773</v>
      </c>
      <c r="P1647" s="1">
        <v>2673</v>
      </c>
      <c r="Q1647" s="1" t="s">
        <v>42</v>
      </c>
      <c r="S1647" s="1" t="s">
        <v>42</v>
      </c>
      <c r="T1647" s="1" t="s">
        <v>153</v>
      </c>
      <c r="U1647" s="1">
        <v>39</v>
      </c>
      <c r="V1647" s="5">
        <v>42502</v>
      </c>
      <c r="W1647" s="5">
        <v>42436</v>
      </c>
      <c r="X1647" s="1">
        <v>10499000</v>
      </c>
      <c r="Y1647" s="1">
        <v>9500000</v>
      </c>
      <c r="Z1647" s="5">
        <v>42476</v>
      </c>
      <c r="AA1647" s="1">
        <v>8650000</v>
      </c>
      <c r="AB1647" s="1" t="s">
        <v>1412</v>
      </c>
      <c r="AC1647" s="5">
        <v>42499</v>
      </c>
      <c r="AF1647" s="1">
        <v>10010</v>
      </c>
      <c r="AI1647" s="1" t="s">
        <v>45</v>
      </c>
      <c r="AJ1647" s="1">
        <v>1915</v>
      </c>
      <c r="AK1647" s="1" t="s">
        <v>49</v>
      </c>
      <c r="AL1647" s="1">
        <v>125</v>
      </c>
    </row>
    <row r="1648" spans="1:38" x14ac:dyDescent="0.2">
      <c r="A1648" s="2" t="str">
        <f>HYPERLINK("https://www.compass.com/listing/10-madison-square-west-unit-14e-manhattan-ny-10010/29374742825921457/","10 Madison Sq W, Unit 14E")</f>
        <v>10 Madison Sq W, Unit 14E</v>
      </c>
      <c r="B1648" s="2" t="str">
        <f t="shared" si="253"/>
        <v>10 Madison Square West</v>
      </c>
      <c r="C1648" s="1" t="s">
        <v>56</v>
      </c>
      <c r="D1648" s="1" t="s">
        <v>41</v>
      </c>
      <c r="E1648" s="3">
        <v>7723750</v>
      </c>
      <c r="F1648" s="1">
        <v>3290.9032807839699</v>
      </c>
      <c r="G1648" s="1">
        <v>6</v>
      </c>
      <c r="H1648" s="1">
        <v>3</v>
      </c>
      <c r="I1648" s="1">
        <v>4</v>
      </c>
      <c r="J1648" s="1">
        <v>3.5</v>
      </c>
      <c r="M1648" s="4">
        <v>2347</v>
      </c>
      <c r="N1648" s="1">
        <v>2948</v>
      </c>
      <c r="O1648" s="1">
        <v>7518</v>
      </c>
      <c r="P1648" s="1">
        <v>4570</v>
      </c>
      <c r="Q1648" s="1" t="s">
        <v>42</v>
      </c>
      <c r="S1648" s="1" t="s">
        <v>42</v>
      </c>
      <c r="T1648" s="1" t="s">
        <v>153</v>
      </c>
      <c r="U1648" s="1">
        <v>586</v>
      </c>
      <c r="V1648" s="5">
        <v>43662</v>
      </c>
      <c r="W1648" s="5">
        <v>42630</v>
      </c>
      <c r="X1648" s="1">
        <v>10500000</v>
      </c>
      <c r="Y1648" s="1">
        <v>7995000</v>
      </c>
      <c r="Z1648" s="5">
        <v>43216</v>
      </c>
      <c r="AA1648" s="1">
        <v>7723750</v>
      </c>
      <c r="AB1648" s="1" t="s">
        <v>1413</v>
      </c>
      <c r="AC1648" s="5">
        <v>43259</v>
      </c>
      <c r="AF1648" s="1">
        <v>10010</v>
      </c>
      <c r="AI1648" s="1" t="s">
        <v>45</v>
      </c>
      <c r="AJ1648" s="1">
        <v>1915</v>
      </c>
      <c r="AK1648" s="1" t="s">
        <v>49</v>
      </c>
      <c r="AL1648" s="1">
        <v>125</v>
      </c>
    </row>
    <row r="1649" spans="1:38" x14ac:dyDescent="0.2">
      <c r="A1649" s="2" t="str">
        <f>HYPERLINK("https://www.compass.com/listing/10-madison-square-west-unit-11f-manhattan-ny-10010/29374737213942609/","10 Madison Sq W, Unit 11F")</f>
        <v>10 Madison Sq W, Unit 11F</v>
      </c>
      <c r="B1649" s="2" t="str">
        <f t="shared" si="253"/>
        <v>10 Madison Square West</v>
      </c>
      <c r="D1649" s="1" t="s">
        <v>41</v>
      </c>
      <c r="E1649" s="3">
        <v>6100000</v>
      </c>
      <c r="F1649" s="1">
        <v>2164.6557842441398</v>
      </c>
      <c r="G1649" s="1">
        <v>7</v>
      </c>
      <c r="H1649" s="1">
        <v>4</v>
      </c>
      <c r="I1649" s="1">
        <v>5</v>
      </c>
      <c r="J1649" s="1">
        <v>4.5</v>
      </c>
      <c r="K1649" s="1">
        <v>4</v>
      </c>
      <c r="L1649" s="1">
        <v>1</v>
      </c>
      <c r="M1649" s="4">
        <v>2818</v>
      </c>
      <c r="N1649" s="1">
        <v>3539</v>
      </c>
      <c r="O1649" s="1">
        <v>7582</v>
      </c>
      <c r="P1649" s="1">
        <v>4043</v>
      </c>
      <c r="Q1649" s="1" t="s">
        <v>42</v>
      </c>
      <c r="S1649" s="1" t="s">
        <v>42</v>
      </c>
      <c r="T1649" s="1" t="s">
        <v>153</v>
      </c>
      <c r="U1649" s="1">
        <v>157</v>
      </c>
      <c r="V1649" s="5">
        <v>44335</v>
      </c>
      <c r="W1649" s="5">
        <v>42445</v>
      </c>
      <c r="X1649" s="1">
        <v>10450000</v>
      </c>
      <c r="Y1649" s="1">
        <v>6995000</v>
      </c>
      <c r="Z1649" s="5">
        <v>42817</v>
      </c>
      <c r="AA1649" s="1">
        <v>6100000</v>
      </c>
      <c r="AB1649" s="1" t="s">
        <v>1414</v>
      </c>
      <c r="AC1649" s="5">
        <v>42866</v>
      </c>
      <c r="AF1649" s="1">
        <v>10010</v>
      </c>
      <c r="AI1649" s="1" t="s">
        <v>1415</v>
      </c>
      <c r="AJ1649" s="1">
        <v>1915</v>
      </c>
      <c r="AK1649" s="1" t="s">
        <v>49</v>
      </c>
      <c r="AL1649" s="1">
        <v>125</v>
      </c>
    </row>
    <row r="1650" spans="1:38" x14ac:dyDescent="0.2">
      <c r="A1650" s="2" t="str">
        <f>HYPERLINK("https://www.compass.com/listing/10-madison-square-west-unit-7c-manhattan-ny-10010/29374726854011521/","10 Madison Sq W, Unit 7C")</f>
        <v>10 Madison Sq W, Unit 7C</v>
      </c>
      <c r="B1650" s="2" t="str">
        <f t="shared" si="253"/>
        <v>10 Madison Square West</v>
      </c>
      <c r="C1650" s="1" t="s">
        <v>56</v>
      </c>
      <c r="D1650" s="1" t="s">
        <v>41</v>
      </c>
      <c r="E1650" s="3">
        <v>4000000</v>
      </c>
      <c r="F1650" s="1">
        <v>2791.3468248429799</v>
      </c>
      <c r="G1650" s="1">
        <v>4</v>
      </c>
      <c r="H1650" s="1">
        <v>2</v>
      </c>
      <c r="I1650" s="1">
        <v>3</v>
      </c>
      <c r="J1650" s="1">
        <v>2.5</v>
      </c>
      <c r="K1650" s="1">
        <v>2</v>
      </c>
      <c r="L1650" s="1">
        <v>1</v>
      </c>
      <c r="M1650" s="4">
        <v>1433</v>
      </c>
      <c r="N1650" s="1">
        <v>1800</v>
      </c>
      <c r="O1650" s="1">
        <v>4266</v>
      </c>
      <c r="P1650" s="1">
        <v>2466</v>
      </c>
      <c r="Q1650" s="1" t="s">
        <v>42</v>
      </c>
      <c r="S1650" s="1" t="s">
        <v>42</v>
      </c>
      <c r="T1650" s="1" t="s">
        <v>153</v>
      </c>
      <c r="U1650" s="1">
        <v>76</v>
      </c>
      <c r="V1650" s="5">
        <v>44341</v>
      </c>
      <c r="W1650" s="5">
        <v>42474</v>
      </c>
      <c r="X1650" s="1">
        <v>4388000</v>
      </c>
      <c r="Y1650" s="1">
        <v>4388000</v>
      </c>
      <c r="Z1650" s="5">
        <v>42550</v>
      </c>
      <c r="AA1650" s="1">
        <v>4000000</v>
      </c>
      <c r="AB1650" s="1" t="s">
        <v>1416</v>
      </c>
      <c r="AC1650" s="5">
        <v>42580</v>
      </c>
      <c r="AF1650" s="1">
        <v>10010</v>
      </c>
      <c r="AI1650" s="1" t="s">
        <v>80</v>
      </c>
      <c r="AJ1650" s="1">
        <v>1915</v>
      </c>
      <c r="AK1650" s="1" t="s">
        <v>49</v>
      </c>
      <c r="AL1650" s="1">
        <v>125</v>
      </c>
    </row>
    <row r="1651" spans="1:38" x14ac:dyDescent="0.2">
      <c r="A1651" s="2" t="str">
        <f>HYPERLINK("https://www.compass.com/listing/10-madison-square-west-unit-8g-manhattan-ny-10010/747125788117236969/","10 Madison Sq W, Unit 8G")</f>
        <v>10 Madison Sq W, Unit 8G</v>
      </c>
      <c r="B1651" s="2" t="str">
        <f t="shared" si="253"/>
        <v>10 Madison Square West</v>
      </c>
      <c r="D1651" s="1" t="s">
        <v>41</v>
      </c>
      <c r="E1651" s="3">
        <v>5350000</v>
      </c>
      <c r="F1651" s="1">
        <v>2272.7272727272698</v>
      </c>
      <c r="G1651" s="1">
        <v>5</v>
      </c>
      <c r="H1651" s="1">
        <v>3</v>
      </c>
      <c r="I1651" s="1">
        <v>4</v>
      </c>
      <c r="J1651" s="1">
        <v>3.5</v>
      </c>
      <c r="K1651" s="1">
        <v>3</v>
      </c>
      <c r="L1651" s="1">
        <v>1</v>
      </c>
      <c r="M1651" s="4">
        <v>2354</v>
      </c>
      <c r="N1651" s="1">
        <v>2959</v>
      </c>
      <c r="O1651" s="1">
        <v>7887</v>
      </c>
      <c r="P1651" s="1">
        <v>4928</v>
      </c>
      <c r="Q1651" s="1" t="s">
        <v>42</v>
      </c>
      <c r="S1651" s="1" t="s">
        <v>42</v>
      </c>
      <c r="T1651" s="1" t="s">
        <v>153</v>
      </c>
      <c r="U1651" s="1">
        <v>35</v>
      </c>
      <c r="V1651" s="5">
        <v>44406</v>
      </c>
      <c r="W1651" s="5">
        <v>44281</v>
      </c>
      <c r="X1651" s="1">
        <v>5495000</v>
      </c>
      <c r="Y1651" s="1">
        <v>5495000</v>
      </c>
      <c r="Z1651" s="5">
        <v>44317</v>
      </c>
      <c r="AA1651" s="1">
        <v>5350000</v>
      </c>
      <c r="AB1651" s="1" t="s">
        <v>1417</v>
      </c>
      <c r="AC1651" s="5">
        <v>44396</v>
      </c>
      <c r="AF1651" s="1">
        <v>10010</v>
      </c>
      <c r="AI1651" s="1" t="s">
        <v>45</v>
      </c>
      <c r="AJ1651" s="1">
        <v>1915</v>
      </c>
      <c r="AK1651" s="1" t="s">
        <v>49</v>
      </c>
      <c r="AL1651" s="1">
        <v>125</v>
      </c>
    </row>
    <row r="1652" spans="1:38" x14ac:dyDescent="0.2">
      <c r="A1652" s="2" t="str">
        <f>HYPERLINK("https://www.compass.com/listing/10-madison-square-west-unit-5c-manhattan-ny-10010/29513460219993521/","10 Madison Sq W, Unit 5C")</f>
        <v>10 Madison Sq W, Unit 5C</v>
      </c>
      <c r="B1652" s="2" t="str">
        <f t="shared" si="253"/>
        <v>10 Madison Square West</v>
      </c>
      <c r="C1652" s="1" t="s">
        <v>56</v>
      </c>
      <c r="D1652" s="1" t="s">
        <v>41</v>
      </c>
      <c r="E1652" s="3">
        <v>3450000</v>
      </c>
      <c r="F1652" s="1">
        <v>2407.5366364270699</v>
      </c>
      <c r="G1652" s="1">
        <v>4</v>
      </c>
      <c r="H1652" s="1">
        <v>2</v>
      </c>
      <c r="I1652" s="1">
        <v>3</v>
      </c>
      <c r="J1652" s="1">
        <v>2.5</v>
      </c>
      <c r="K1652" s="1">
        <v>2</v>
      </c>
      <c r="L1652" s="1">
        <v>1</v>
      </c>
      <c r="M1652" s="4">
        <v>1433</v>
      </c>
      <c r="N1652" s="1">
        <v>1800</v>
      </c>
      <c r="O1652" s="1">
        <v>4717</v>
      </c>
      <c r="P1652" s="1">
        <v>2917</v>
      </c>
      <c r="Q1652" s="1" t="s">
        <v>42</v>
      </c>
      <c r="S1652" s="1" t="s">
        <v>42</v>
      </c>
      <c r="T1652" s="1" t="s">
        <v>153</v>
      </c>
      <c r="U1652" s="1">
        <v>556</v>
      </c>
      <c r="V1652" s="5">
        <v>43678</v>
      </c>
      <c r="W1652" s="5">
        <v>42766</v>
      </c>
      <c r="X1652" s="1">
        <v>4250000</v>
      </c>
      <c r="Y1652" s="1">
        <v>3600000</v>
      </c>
      <c r="Z1652" s="5">
        <v>43322</v>
      </c>
      <c r="AA1652" s="1">
        <v>3450000</v>
      </c>
      <c r="AB1652" s="1" t="s">
        <v>1418</v>
      </c>
      <c r="AC1652" s="5">
        <v>43398</v>
      </c>
      <c r="AF1652" s="1">
        <v>10010</v>
      </c>
      <c r="AI1652" s="1" t="s">
        <v>80</v>
      </c>
      <c r="AJ1652" s="1">
        <v>1915</v>
      </c>
      <c r="AK1652" s="1" t="s">
        <v>46</v>
      </c>
      <c r="AL1652" s="1">
        <v>125</v>
      </c>
    </row>
    <row r="1653" spans="1:38" x14ac:dyDescent="0.2">
      <c r="A1653" s="2" t="str">
        <f>HYPERLINK("https://www.compass.com/listing/10-madison-square-west-unit-5a-manhattan-ny-10010/29374719555923585/","10 Madison Sq W, Unit 5A")</f>
        <v>10 Madison Sq W, Unit 5A</v>
      </c>
      <c r="B1653" s="2" t="str">
        <f t="shared" si="253"/>
        <v>10 Madison Square West</v>
      </c>
      <c r="C1653" s="1" t="s">
        <v>56</v>
      </c>
      <c r="D1653" s="1" t="s">
        <v>41</v>
      </c>
      <c r="E1653" s="3">
        <v>1885000</v>
      </c>
      <c r="F1653" s="1">
        <v>2117.9775280898798</v>
      </c>
      <c r="G1653" s="1">
        <v>3</v>
      </c>
      <c r="H1653" s="1">
        <v>1</v>
      </c>
      <c r="I1653" s="1">
        <v>1</v>
      </c>
      <c r="J1653" s="1">
        <v>1</v>
      </c>
      <c r="M1653" s="1">
        <v>890</v>
      </c>
      <c r="N1653" s="1">
        <v>1118</v>
      </c>
      <c r="O1653" s="1">
        <v>2031</v>
      </c>
      <c r="P1653" s="1">
        <v>913</v>
      </c>
      <c r="Q1653" s="1" t="s">
        <v>42</v>
      </c>
      <c r="S1653" s="1" t="s">
        <v>42</v>
      </c>
      <c r="T1653" s="1" t="s">
        <v>153</v>
      </c>
      <c r="U1653" s="1">
        <v>21</v>
      </c>
      <c r="V1653" s="5">
        <v>43678</v>
      </c>
      <c r="W1653" s="5">
        <v>42412</v>
      </c>
      <c r="X1653" s="1">
        <v>1895000</v>
      </c>
      <c r="Y1653" s="1">
        <v>1895000</v>
      </c>
      <c r="Z1653" s="5">
        <v>42433</v>
      </c>
      <c r="AA1653" s="1">
        <v>1885000</v>
      </c>
      <c r="AB1653" s="1" t="s">
        <v>1419</v>
      </c>
      <c r="AC1653" s="5">
        <v>42489</v>
      </c>
      <c r="AF1653" s="1">
        <v>10010</v>
      </c>
      <c r="AI1653" s="1" t="s">
        <v>45</v>
      </c>
      <c r="AJ1653" s="1">
        <v>1915</v>
      </c>
      <c r="AK1653" s="1" t="s">
        <v>49</v>
      </c>
      <c r="AL1653" s="1">
        <v>125</v>
      </c>
    </row>
    <row r="1654" spans="1:38" x14ac:dyDescent="0.2">
      <c r="A1654" s="2" t="str">
        <f>HYPERLINK("https://www.compass.com/listing/10-madison-square-west-unit-3f-manhattan-ny-10010/675292028824757729/","10 Madison Sq W, Unit 3F")</f>
        <v>10 Madison Sq W, Unit 3F</v>
      </c>
      <c r="B1654" s="2" t="str">
        <f t="shared" si="253"/>
        <v>10 Madison Square West</v>
      </c>
      <c r="D1654" s="1" t="s">
        <v>41</v>
      </c>
      <c r="E1654" s="3">
        <v>6425000</v>
      </c>
      <c r="F1654" s="1">
        <v>2687.1601840234198</v>
      </c>
      <c r="G1654" s="1">
        <v>5</v>
      </c>
      <c r="H1654" s="1">
        <v>3</v>
      </c>
      <c r="I1654" s="1">
        <v>4</v>
      </c>
      <c r="J1654" s="1">
        <v>3.5</v>
      </c>
      <c r="K1654" s="1">
        <v>3</v>
      </c>
      <c r="L1654" s="1">
        <v>1</v>
      </c>
      <c r="M1654" s="4">
        <v>2391</v>
      </c>
      <c r="N1654" s="1">
        <v>3003.43</v>
      </c>
      <c r="O1654" s="1">
        <v>8008.8799999999901</v>
      </c>
      <c r="P1654" s="1">
        <v>5005.4166666666597</v>
      </c>
      <c r="Q1654" s="1" t="s">
        <v>42</v>
      </c>
      <c r="S1654" s="1" t="s">
        <v>42</v>
      </c>
      <c r="T1654" s="1" t="s">
        <v>153</v>
      </c>
      <c r="U1654" s="1">
        <v>104</v>
      </c>
      <c r="V1654" s="5">
        <v>44358</v>
      </c>
      <c r="W1654" s="5">
        <v>44183</v>
      </c>
      <c r="X1654" s="1">
        <v>6975000</v>
      </c>
      <c r="Y1654" s="1">
        <v>6975000</v>
      </c>
      <c r="Z1654" s="5">
        <v>44288</v>
      </c>
      <c r="AA1654" s="1">
        <v>6425000</v>
      </c>
      <c r="AB1654" s="1" t="s">
        <v>1420</v>
      </c>
      <c r="AC1654" s="5">
        <v>44351</v>
      </c>
      <c r="AF1654" s="1">
        <v>10010</v>
      </c>
      <c r="AI1654" s="1" t="s">
        <v>45</v>
      </c>
      <c r="AJ1654" s="1">
        <v>1915</v>
      </c>
      <c r="AK1654" s="1" t="s">
        <v>46</v>
      </c>
      <c r="AL1654" s="1">
        <v>125</v>
      </c>
    </row>
    <row r="1655" spans="1:38" x14ac:dyDescent="0.2">
      <c r="A1655" s="2" t="str">
        <f>HYPERLINK("https://www.compass.com/listing/10-madison-square-west-unit-12g-manhattan-ny-10010/803400657050596049/","10 Madison Sq W, Unit 12G")</f>
        <v>10 Madison Sq W, Unit 12G</v>
      </c>
      <c r="B1655" s="2" t="str">
        <f t="shared" si="253"/>
        <v>10 Madison Square West</v>
      </c>
      <c r="D1655" s="1" t="s">
        <v>41</v>
      </c>
      <c r="E1655" s="3">
        <v>2250000</v>
      </c>
      <c r="F1655" s="1">
        <v>2146.9465648854898</v>
      </c>
      <c r="G1655" s="1">
        <v>3</v>
      </c>
      <c r="H1655" s="1">
        <v>1</v>
      </c>
      <c r="I1655" s="1">
        <v>1</v>
      </c>
      <c r="J1655" s="1">
        <v>1.5</v>
      </c>
      <c r="K1655" s="1">
        <v>1</v>
      </c>
      <c r="L1655" s="1">
        <v>1</v>
      </c>
      <c r="M1655" s="4">
        <v>1048</v>
      </c>
      <c r="N1655" s="1">
        <v>1313.06</v>
      </c>
      <c r="O1655" s="1">
        <v>3116.06</v>
      </c>
      <c r="P1655" s="1">
        <v>1803</v>
      </c>
      <c r="Q1655" s="1" t="s">
        <v>42</v>
      </c>
      <c r="S1655" s="1" t="s">
        <v>42</v>
      </c>
      <c r="T1655" s="1" t="s">
        <v>153</v>
      </c>
      <c r="U1655" s="1">
        <v>141</v>
      </c>
      <c r="V1655" s="5">
        <v>42970</v>
      </c>
      <c r="W1655" s="5">
        <v>42619</v>
      </c>
      <c r="X1655" s="1">
        <v>2975000</v>
      </c>
      <c r="Y1655" s="1">
        <v>2250000</v>
      </c>
      <c r="Z1655" s="5">
        <v>42761</v>
      </c>
      <c r="AA1655" s="1">
        <v>2250000</v>
      </c>
      <c r="AB1655" s="1" t="s">
        <v>1421</v>
      </c>
      <c r="AC1655" s="5">
        <v>42795</v>
      </c>
      <c r="AF1655" s="1">
        <v>10010</v>
      </c>
      <c r="AI1655" s="1" t="s">
        <v>45</v>
      </c>
      <c r="AJ1655" s="1">
        <v>1915</v>
      </c>
      <c r="AK1655" s="1" t="s">
        <v>46</v>
      </c>
      <c r="AL1655" s="1">
        <v>125</v>
      </c>
    </row>
    <row r="1656" spans="1:38" x14ac:dyDescent="0.2">
      <c r="A1656" s="2" t="str">
        <f>HYPERLINK("https://www.compass.com/listing/10-madison-square-west-unit-18c-manhattan-ny-10010/634167098463132441/","10 Madison Sq W, Unit 18C")</f>
        <v>10 Madison Sq W, Unit 18C</v>
      </c>
      <c r="B1656" s="2" t="str">
        <f t="shared" si="253"/>
        <v>10 Madison Square West</v>
      </c>
      <c r="D1656" s="1" t="s">
        <v>41</v>
      </c>
      <c r="E1656" s="3">
        <v>10900000</v>
      </c>
      <c r="F1656" s="1">
        <v>4313.4151167392101</v>
      </c>
      <c r="G1656" s="1">
        <v>6</v>
      </c>
      <c r="H1656" s="1">
        <v>3</v>
      </c>
      <c r="I1656" s="1">
        <v>4</v>
      </c>
      <c r="J1656" s="1">
        <v>3.5</v>
      </c>
      <c r="K1656" s="1">
        <v>3</v>
      </c>
      <c r="L1656" s="1">
        <v>1</v>
      </c>
      <c r="M1656" s="4">
        <v>2527</v>
      </c>
      <c r="N1656" s="1">
        <v>3511</v>
      </c>
      <c r="O1656" s="1">
        <v>9460</v>
      </c>
      <c r="P1656" s="1">
        <v>5949</v>
      </c>
      <c r="Q1656" s="1" t="s">
        <v>42</v>
      </c>
      <c r="S1656" s="1" t="s">
        <v>42</v>
      </c>
      <c r="T1656" s="1" t="s">
        <v>153</v>
      </c>
      <c r="U1656" s="1">
        <v>125</v>
      </c>
      <c r="V1656" s="5">
        <v>44314</v>
      </c>
      <c r="W1656" s="5">
        <v>44118</v>
      </c>
      <c r="X1656" s="1">
        <v>12995000</v>
      </c>
      <c r="Y1656" s="1">
        <v>12995000</v>
      </c>
      <c r="Z1656" s="5">
        <v>44244</v>
      </c>
      <c r="AA1656" s="1">
        <v>10900000</v>
      </c>
      <c r="AB1656" s="1" t="s">
        <v>1422</v>
      </c>
      <c r="AC1656" s="5">
        <v>44294</v>
      </c>
      <c r="AF1656" s="1">
        <v>10010</v>
      </c>
      <c r="AI1656" s="1" t="s">
        <v>381</v>
      </c>
      <c r="AJ1656" s="1">
        <v>1915</v>
      </c>
      <c r="AK1656" s="1" t="s">
        <v>49</v>
      </c>
      <c r="AL1656" s="1">
        <v>125</v>
      </c>
    </row>
    <row r="1657" spans="1:38" x14ac:dyDescent="0.2">
      <c r="A1657" s="2" t="str">
        <f>HYPERLINK("https://www.compass.com/listing/10-madison-square-west-unit-4f-manhattan-ny-10010/29374717995641249/","10 Madison Sq W, Unit 4F")</f>
        <v>10 Madison Sq W, Unit 4F</v>
      </c>
      <c r="B1657" s="2" t="str">
        <f t="shared" si="253"/>
        <v>10 Madison Square West</v>
      </c>
      <c r="C1657" s="1" t="s">
        <v>56</v>
      </c>
      <c r="D1657" s="1" t="s">
        <v>41</v>
      </c>
      <c r="E1657" s="3">
        <v>6950000</v>
      </c>
      <c r="F1657" s="1">
        <v>2906.7335842743601</v>
      </c>
      <c r="G1657" s="1">
        <v>6</v>
      </c>
      <c r="H1657" s="1">
        <v>3</v>
      </c>
      <c r="I1657" s="1">
        <v>4</v>
      </c>
      <c r="J1657" s="1">
        <v>3.5</v>
      </c>
      <c r="M1657" s="4">
        <v>2391</v>
      </c>
      <c r="N1657" s="1">
        <v>3003</v>
      </c>
      <c r="O1657" s="1">
        <v>7120</v>
      </c>
      <c r="P1657" s="1">
        <v>4117</v>
      </c>
      <c r="Q1657" s="1" t="s">
        <v>42</v>
      </c>
      <c r="S1657" s="1" t="s">
        <v>42</v>
      </c>
      <c r="T1657" s="1" t="s">
        <v>153</v>
      </c>
      <c r="U1657" s="1">
        <v>173</v>
      </c>
      <c r="V1657" s="5">
        <v>43649</v>
      </c>
      <c r="W1657" s="5">
        <v>42888</v>
      </c>
      <c r="X1657" s="1">
        <v>7695000</v>
      </c>
      <c r="Y1657" s="1">
        <v>7695000</v>
      </c>
      <c r="Z1657" s="5">
        <v>43061</v>
      </c>
      <c r="AA1657" s="1">
        <v>6950000</v>
      </c>
      <c r="AB1657" s="1" t="s">
        <v>1423</v>
      </c>
      <c r="AC1657" s="5">
        <v>43087</v>
      </c>
      <c r="AF1657" s="1">
        <v>10010</v>
      </c>
      <c r="AI1657" s="1" t="s">
        <v>45</v>
      </c>
      <c r="AJ1657" s="1">
        <v>1915</v>
      </c>
      <c r="AK1657" s="1" t="s">
        <v>49</v>
      </c>
      <c r="AL1657" s="1">
        <v>125</v>
      </c>
    </row>
    <row r="1658" spans="1:38" x14ac:dyDescent="0.2">
      <c r="A1658" s="2" t="str">
        <f>HYPERLINK("https://www.compass.com/listing/10-madison-square-west-unit-2c-manhattan-ny-10010/29374711418917233/","10 Madison Sq W, Unit 2C")</f>
        <v>10 Madison Sq W, Unit 2C</v>
      </c>
      <c r="B1658" s="2" t="str">
        <f t="shared" si="253"/>
        <v>10 Madison Square West</v>
      </c>
      <c r="D1658" s="1" t="s">
        <v>41</v>
      </c>
      <c r="E1658" s="3">
        <v>3563875</v>
      </c>
      <c r="F1658" s="1">
        <v>2487.0027913468198</v>
      </c>
      <c r="G1658" s="1">
        <v>4</v>
      </c>
      <c r="H1658" s="1">
        <v>2</v>
      </c>
      <c r="I1658" s="1">
        <v>3</v>
      </c>
      <c r="J1658" s="1">
        <v>2.5</v>
      </c>
      <c r="M1658" s="4">
        <v>1433</v>
      </c>
      <c r="N1658" s="1">
        <v>1795</v>
      </c>
      <c r="O1658" s="1">
        <v>3264</v>
      </c>
      <c r="P1658" s="1">
        <v>1469</v>
      </c>
      <c r="Q1658" s="1" t="s">
        <v>42</v>
      </c>
      <c r="S1658" s="1" t="s">
        <v>42</v>
      </c>
      <c r="T1658" s="1" t="s">
        <v>153</v>
      </c>
      <c r="U1658" s="1">
        <v>129</v>
      </c>
      <c r="V1658" s="5">
        <v>42930</v>
      </c>
      <c r="W1658" s="5">
        <v>41650</v>
      </c>
      <c r="X1658" s="1">
        <v>3500000</v>
      </c>
      <c r="Y1658" s="1">
        <v>3500000</v>
      </c>
      <c r="Z1658" s="5">
        <v>41816</v>
      </c>
      <c r="AA1658" s="1">
        <v>3563875</v>
      </c>
      <c r="AB1658" s="1" t="s">
        <v>1424</v>
      </c>
      <c r="AC1658" s="5">
        <v>42899</v>
      </c>
      <c r="AF1658" s="1">
        <v>10010</v>
      </c>
      <c r="AI1658" s="1" t="s">
        <v>45</v>
      </c>
      <c r="AJ1658" s="1">
        <v>1915</v>
      </c>
      <c r="AK1658" s="1" t="s">
        <v>46</v>
      </c>
      <c r="AL1658" s="1">
        <v>125</v>
      </c>
    </row>
    <row r="1659" spans="1:38" x14ac:dyDescent="0.2">
      <c r="A1659" s="2" t="str">
        <f>HYPERLINK("https://www.compass.com/listing/10-madison-square-west-unit-20a-manhattan-ny-10010/29374753060024625/","10 Madison Sq W, Unit 20A")</f>
        <v>10 Madison Sq W, Unit 20A</v>
      </c>
      <c r="B1659" s="2" t="str">
        <f t="shared" si="253"/>
        <v>10 Madison Square West</v>
      </c>
      <c r="C1659" s="1" t="s">
        <v>56</v>
      </c>
      <c r="D1659" s="1" t="s">
        <v>41</v>
      </c>
      <c r="E1659" s="3">
        <v>5250000</v>
      </c>
      <c r="F1659" s="1">
        <v>2724.4421380384001</v>
      </c>
      <c r="G1659" s="1">
        <v>4</v>
      </c>
      <c r="H1659" s="1">
        <v>2</v>
      </c>
      <c r="I1659" s="1">
        <v>3</v>
      </c>
      <c r="J1659" s="1">
        <v>2.5</v>
      </c>
      <c r="M1659" s="4">
        <v>1927</v>
      </c>
      <c r="N1659" s="1">
        <v>2414</v>
      </c>
      <c r="O1659" s="1">
        <v>5730</v>
      </c>
      <c r="P1659" s="1">
        <v>3316</v>
      </c>
      <c r="Q1659" s="1" t="s">
        <v>42</v>
      </c>
      <c r="S1659" s="1" t="s">
        <v>42</v>
      </c>
      <c r="T1659" s="1" t="s">
        <v>153</v>
      </c>
      <c r="U1659" s="1">
        <v>34</v>
      </c>
      <c r="V1659" s="5">
        <v>43670</v>
      </c>
      <c r="W1659" s="5">
        <v>42881</v>
      </c>
      <c r="X1659" s="1">
        <v>5850000</v>
      </c>
      <c r="Y1659" s="1">
        <v>5850000</v>
      </c>
      <c r="Z1659" s="5">
        <v>42915</v>
      </c>
      <c r="AA1659" s="1">
        <v>5250000</v>
      </c>
      <c r="AB1659" s="1" t="s">
        <v>1425</v>
      </c>
      <c r="AC1659" s="5">
        <v>42955</v>
      </c>
      <c r="AF1659" s="1">
        <v>10010</v>
      </c>
      <c r="AI1659" s="1" t="s">
        <v>45</v>
      </c>
      <c r="AJ1659" s="1">
        <v>1915</v>
      </c>
      <c r="AK1659" s="1" t="s">
        <v>49</v>
      </c>
      <c r="AL1659" s="1">
        <v>125</v>
      </c>
    </row>
    <row r="1660" spans="1:38" x14ac:dyDescent="0.2">
      <c r="A1660" s="2" t="str">
        <f>HYPERLINK("https://www.compass.com/listing/10-madison-square-west-unit-4c-manhattan-ny-10010/232432065348488657/","10 Madison Sq W, Unit 4C")</f>
        <v>10 Madison Sq W, Unit 4C</v>
      </c>
      <c r="B1660" s="2" t="str">
        <f t="shared" si="253"/>
        <v>10 Madison Square West</v>
      </c>
      <c r="D1660" s="1" t="s">
        <v>41</v>
      </c>
      <c r="E1660" s="3">
        <v>2900000</v>
      </c>
      <c r="F1660" s="1">
        <v>2023.7264480111601</v>
      </c>
      <c r="G1660" s="1">
        <v>4</v>
      </c>
      <c r="H1660" s="1">
        <v>2</v>
      </c>
      <c r="I1660" s="1">
        <v>3</v>
      </c>
      <c r="J1660" s="1">
        <v>2.5</v>
      </c>
      <c r="K1660" s="1">
        <v>2</v>
      </c>
      <c r="L1660" s="1">
        <v>1</v>
      </c>
      <c r="M1660" s="4">
        <v>1433</v>
      </c>
      <c r="N1660" s="1">
        <v>1800</v>
      </c>
      <c r="O1660" s="1">
        <v>4784</v>
      </c>
      <c r="P1660" s="1">
        <v>2984</v>
      </c>
      <c r="Q1660" s="1" t="s">
        <v>42</v>
      </c>
      <c r="S1660" s="1" t="s">
        <v>42</v>
      </c>
      <c r="T1660" s="1" t="s">
        <v>153</v>
      </c>
      <c r="U1660" s="1">
        <v>204</v>
      </c>
      <c r="V1660" s="5">
        <v>43839</v>
      </c>
      <c r="W1660" s="5">
        <v>43571</v>
      </c>
      <c r="X1660" s="1">
        <v>3485000</v>
      </c>
      <c r="Y1660" s="1">
        <v>3225000</v>
      </c>
      <c r="Z1660" s="5">
        <v>43777</v>
      </c>
      <c r="AA1660" s="1">
        <v>2900000</v>
      </c>
      <c r="AB1660" s="1" t="s">
        <v>1426</v>
      </c>
      <c r="AC1660" s="5">
        <v>43833</v>
      </c>
      <c r="AF1660" s="1">
        <v>10010</v>
      </c>
      <c r="AI1660" s="1" t="s">
        <v>45</v>
      </c>
      <c r="AJ1660" s="1">
        <v>1915</v>
      </c>
      <c r="AK1660" s="1" t="s">
        <v>49</v>
      </c>
      <c r="AL1660" s="1">
        <v>125</v>
      </c>
    </row>
    <row r="1661" spans="1:38" x14ac:dyDescent="0.2">
      <c r="A1661" s="2" t="str">
        <f>HYPERLINK("https://www.compass.com/listing/10-madison-square-west-unit-2f-manhattan-ny-10010/455789093709158225/","10 Madison Sq W, Unit 2F")</f>
        <v>10 Madison Sq W, Unit 2F</v>
      </c>
      <c r="B1661" s="2" t="str">
        <f t="shared" si="253"/>
        <v>10 Madison Square West</v>
      </c>
      <c r="D1661" s="1" t="s">
        <v>41</v>
      </c>
      <c r="E1661" s="3">
        <v>5800000</v>
      </c>
      <c r="F1661" s="1">
        <v>2425.7632789627701</v>
      </c>
      <c r="G1661" s="1">
        <v>5</v>
      </c>
      <c r="H1661" s="1">
        <v>3</v>
      </c>
      <c r="I1661" s="1">
        <v>3</v>
      </c>
      <c r="J1661" s="1">
        <v>3</v>
      </c>
      <c r="K1661" s="1">
        <v>3</v>
      </c>
      <c r="M1661" s="4">
        <v>2391</v>
      </c>
      <c r="N1661" s="1">
        <v>3003</v>
      </c>
      <c r="O1661" s="1">
        <v>7928</v>
      </c>
      <c r="P1661" s="1">
        <v>4925</v>
      </c>
      <c r="Q1661" s="1" t="s">
        <v>42</v>
      </c>
      <c r="S1661" s="1" t="s">
        <v>42</v>
      </c>
      <c r="T1661" s="1" t="s">
        <v>153</v>
      </c>
      <c r="U1661" s="1">
        <v>12</v>
      </c>
      <c r="V1661" s="5">
        <v>44317</v>
      </c>
      <c r="W1661" s="5">
        <v>43881</v>
      </c>
      <c r="X1661" s="1">
        <v>5995000</v>
      </c>
      <c r="Y1661" s="1">
        <v>5995000</v>
      </c>
      <c r="Z1661" s="5">
        <v>43894</v>
      </c>
      <c r="AA1661" s="1">
        <v>5800000</v>
      </c>
      <c r="AB1661" s="1" t="s">
        <v>1427</v>
      </c>
      <c r="AC1661" s="5">
        <v>43993</v>
      </c>
      <c r="AF1661" s="1">
        <v>10010</v>
      </c>
      <c r="AI1661" s="1" t="s">
        <v>80</v>
      </c>
      <c r="AJ1661" s="1">
        <v>1915</v>
      </c>
      <c r="AK1661" s="1" t="s">
        <v>46</v>
      </c>
      <c r="AL1661" s="1">
        <v>125</v>
      </c>
    </row>
    <row r="1662" spans="1:38" x14ac:dyDescent="0.2">
      <c r="A1662" s="2" t="str">
        <f>HYPERLINK("https://www.compass.com/listing/10-madison-square-west-unit-14b-manhattan-ny-10010/29374741290750961/","10 Madison Sq W, Unit 14B")</f>
        <v>10 Madison Sq W, Unit 14B</v>
      </c>
      <c r="B1662" s="2" t="str">
        <f t="shared" si="253"/>
        <v>10 Madison Square West</v>
      </c>
      <c r="D1662" s="1" t="s">
        <v>41</v>
      </c>
      <c r="E1662" s="3">
        <v>2241600</v>
      </c>
      <c r="F1662" s="1">
        <v>2184.7953216374199</v>
      </c>
      <c r="G1662" s="1">
        <v>4</v>
      </c>
      <c r="H1662" s="1">
        <v>1</v>
      </c>
      <c r="I1662" s="1">
        <v>2</v>
      </c>
      <c r="J1662" s="1">
        <v>1.5</v>
      </c>
      <c r="M1662" s="4">
        <v>1026</v>
      </c>
      <c r="N1662" s="1">
        <v>1285</v>
      </c>
      <c r="O1662" s="1">
        <v>2337</v>
      </c>
      <c r="P1662" s="1">
        <v>1052</v>
      </c>
      <c r="Q1662" s="1" t="s">
        <v>42</v>
      </c>
      <c r="S1662" s="1" t="s">
        <v>42</v>
      </c>
      <c r="T1662" s="1" t="s">
        <v>153</v>
      </c>
      <c r="U1662" s="1">
        <v>13</v>
      </c>
      <c r="V1662" s="5">
        <v>42763</v>
      </c>
      <c r="W1662" s="5">
        <v>42640</v>
      </c>
      <c r="X1662" s="1">
        <v>2300000</v>
      </c>
      <c r="Y1662" s="1">
        <v>2300000</v>
      </c>
      <c r="Z1662" s="5">
        <v>42654</v>
      </c>
      <c r="AA1662" s="1">
        <v>2241600</v>
      </c>
      <c r="AB1662" s="1" t="s">
        <v>1428</v>
      </c>
      <c r="AC1662" s="5">
        <v>42713</v>
      </c>
      <c r="AF1662" s="1">
        <v>10010</v>
      </c>
      <c r="AI1662" s="1" t="s">
        <v>45</v>
      </c>
      <c r="AJ1662" s="1">
        <v>1915</v>
      </c>
      <c r="AK1662" s="1" t="s">
        <v>46</v>
      </c>
      <c r="AL1662" s="1">
        <v>125</v>
      </c>
    </row>
    <row r="1663" spans="1:38" x14ac:dyDescent="0.2">
      <c r="A1663" s="2" t="str">
        <f>HYPERLINK("https://www.compass.com/listing/10-madison-square-west-unit-15b-manhattan-ny-10010/698702974362130249/","10 Madison Sq W, Unit 15B")</f>
        <v>10 Madison Sq W, Unit 15B</v>
      </c>
      <c r="B1663" s="2" t="str">
        <f t="shared" si="253"/>
        <v>10 Madison Square West</v>
      </c>
      <c r="D1663" s="1" t="s">
        <v>41</v>
      </c>
      <c r="E1663" s="3">
        <v>2100000</v>
      </c>
      <c r="F1663" s="1">
        <v>2046.78362573099</v>
      </c>
      <c r="G1663" s="1">
        <v>3</v>
      </c>
      <c r="H1663" s="1">
        <v>1</v>
      </c>
      <c r="I1663" s="1">
        <v>2</v>
      </c>
      <c r="J1663" s="1">
        <v>1.5</v>
      </c>
      <c r="K1663" s="1">
        <v>1</v>
      </c>
      <c r="L1663" s="1">
        <v>1</v>
      </c>
      <c r="M1663" s="4">
        <v>1026</v>
      </c>
      <c r="N1663" s="1">
        <v>1288</v>
      </c>
      <c r="O1663" s="1">
        <v>3090</v>
      </c>
      <c r="P1663" s="1">
        <v>1802</v>
      </c>
      <c r="Q1663" s="1" t="s">
        <v>42</v>
      </c>
      <c r="S1663" s="1" t="s">
        <v>42</v>
      </c>
      <c r="T1663" s="1" t="s">
        <v>153</v>
      </c>
      <c r="U1663" s="1">
        <v>20</v>
      </c>
      <c r="V1663" s="5">
        <v>44323</v>
      </c>
      <c r="W1663" s="5">
        <v>44195</v>
      </c>
      <c r="Z1663" s="5">
        <v>44216</v>
      </c>
      <c r="AA1663" s="1">
        <v>2100000</v>
      </c>
      <c r="AB1663" s="1" t="s">
        <v>1429</v>
      </c>
      <c r="AC1663" s="5">
        <v>44306</v>
      </c>
      <c r="AF1663" s="1">
        <v>10010</v>
      </c>
      <c r="AI1663" s="1" t="s">
        <v>80</v>
      </c>
      <c r="AJ1663" s="1">
        <v>1915</v>
      </c>
      <c r="AK1663" s="1" t="s">
        <v>49</v>
      </c>
      <c r="AL1663" s="1">
        <v>125</v>
      </c>
    </row>
    <row r="1664" spans="1:38" x14ac:dyDescent="0.2">
      <c r="A1664" s="2" t="str">
        <f>HYPERLINK("https://www.compass.com/listing/10-madison-square-west-unit-9c-manhattan-ny-10010/29374732004616945/","10 Madison Sq W, Unit 9C")</f>
        <v>10 Madison Sq W, Unit 9C</v>
      </c>
      <c r="B1664" s="2" t="str">
        <f t="shared" si="253"/>
        <v>10 Madison Square West</v>
      </c>
      <c r="D1664" s="1" t="s">
        <v>41</v>
      </c>
      <c r="E1664" s="3">
        <v>4836688</v>
      </c>
      <c r="F1664" s="1">
        <v>2718.7675660483401</v>
      </c>
      <c r="G1664" s="1">
        <v>5</v>
      </c>
      <c r="H1664" s="1">
        <v>2</v>
      </c>
      <c r="I1664" s="1">
        <v>3</v>
      </c>
      <c r="J1664" s="1">
        <v>2.5</v>
      </c>
      <c r="M1664" s="4">
        <v>1779</v>
      </c>
      <c r="N1664" s="1">
        <v>2228</v>
      </c>
      <c r="O1664" s="1">
        <v>4052</v>
      </c>
      <c r="P1664" s="1">
        <v>1824</v>
      </c>
      <c r="Q1664" s="1" t="s">
        <v>42</v>
      </c>
      <c r="S1664" s="1" t="s">
        <v>42</v>
      </c>
      <c r="T1664" s="1" t="s">
        <v>153</v>
      </c>
      <c r="U1664" s="1">
        <v>217</v>
      </c>
      <c r="V1664" s="5">
        <v>42507</v>
      </c>
      <c r="W1664" s="5">
        <v>41596</v>
      </c>
      <c r="X1664" s="1">
        <v>4750000</v>
      </c>
      <c r="Y1664" s="1">
        <v>4750000</v>
      </c>
      <c r="Z1664" s="5">
        <v>41814</v>
      </c>
      <c r="AA1664" s="1">
        <v>4836687.5</v>
      </c>
      <c r="AB1664" s="1" t="s">
        <v>1430</v>
      </c>
      <c r="AC1664" s="5">
        <v>42430</v>
      </c>
      <c r="AF1664" s="1">
        <v>10010</v>
      </c>
      <c r="AI1664" s="1" t="s">
        <v>45</v>
      </c>
      <c r="AJ1664" s="1">
        <v>1915</v>
      </c>
      <c r="AK1664" s="1" t="s">
        <v>49</v>
      </c>
      <c r="AL1664" s="1">
        <v>125</v>
      </c>
    </row>
    <row r="1665" spans="1:38" x14ac:dyDescent="0.2">
      <c r="A1665" s="2" t="str">
        <f>HYPERLINK("https://www.compass.com/listing/10-madison-square-west-unit-9a-manhattan-ny-10010/29374731325140849/","10 Madison Sq W, Unit 9A")</f>
        <v>10 Madison Sq W, Unit 9A</v>
      </c>
      <c r="B1665" s="2" t="str">
        <f t="shared" si="253"/>
        <v>10 Madison Square West</v>
      </c>
      <c r="D1665" s="1" t="s">
        <v>41</v>
      </c>
      <c r="E1665" s="3">
        <v>4450000</v>
      </c>
      <c r="F1665" s="1">
        <v>2018.1405895691601</v>
      </c>
      <c r="G1665" s="1">
        <v>6</v>
      </c>
      <c r="H1665" s="1">
        <v>3</v>
      </c>
      <c r="I1665" s="1">
        <v>4</v>
      </c>
      <c r="J1665" s="1">
        <v>3.5</v>
      </c>
      <c r="M1665" s="4">
        <v>2205</v>
      </c>
      <c r="N1665" s="1">
        <v>2770</v>
      </c>
      <c r="O1665" s="1">
        <v>6565</v>
      </c>
      <c r="P1665" s="1">
        <v>3795</v>
      </c>
      <c r="Q1665" s="1" t="s">
        <v>42</v>
      </c>
      <c r="S1665" s="1" t="s">
        <v>42</v>
      </c>
      <c r="T1665" s="1" t="s">
        <v>153</v>
      </c>
      <c r="U1665" s="1">
        <v>273</v>
      </c>
      <c r="V1665" s="5">
        <v>42908</v>
      </c>
      <c r="W1665" s="5">
        <v>42475</v>
      </c>
      <c r="X1665" s="1">
        <v>5960000</v>
      </c>
      <c r="Y1665" s="1">
        <v>4625000</v>
      </c>
      <c r="Z1665" s="5">
        <v>42760</v>
      </c>
      <c r="AA1665" s="1">
        <v>4450000</v>
      </c>
      <c r="AB1665" s="1" t="s">
        <v>1431</v>
      </c>
      <c r="AC1665" s="5">
        <v>42845</v>
      </c>
      <c r="AF1665" s="1">
        <v>10010</v>
      </c>
      <c r="AI1665" s="1" t="s">
        <v>45</v>
      </c>
      <c r="AJ1665" s="1">
        <v>1915</v>
      </c>
      <c r="AK1665" s="1" t="s">
        <v>49</v>
      </c>
      <c r="AL1665" s="1">
        <v>125</v>
      </c>
    </row>
    <row r="1666" spans="1:38" x14ac:dyDescent="0.2">
      <c r="A1666" s="2" t="str">
        <f>HYPERLINK("https://www.compass.com/listing/10-madison-square-west-unit-17e-manhattan-ny-10010/29374750920929553/","10 Madison Sq W, Unit 17E")</f>
        <v>10 Madison Sq W, Unit 17E</v>
      </c>
      <c r="B1666" s="2" t="str">
        <f t="shared" si="253"/>
        <v>10 Madison Square West</v>
      </c>
      <c r="D1666" s="1" t="s">
        <v>41</v>
      </c>
      <c r="E1666" s="3">
        <v>8326975</v>
      </c>
      <c r="F1666" s="1">
        <v>3547.9228802726798</v>
      </c>
      <c r="G1666" s="1">
        <v>7</v>
      </c>
      <c r="H1666" s="1">
        <v>3</v>
      </c>
      <c r="I1666" s="1">
        <v>4</v>
      </c>
      <c r="J1666" s="1">
        <v>3.5</v>
      </c>
      <c r="M1666" s="4">
        <v>2347</v>
      </c>
      <c r="N1666" s="1">
        <v>2946</v>
      </c>
      <c r="O1666" s="1">
        <v>6985</v>
      </c>
      <c r="P1666" s="1">
        <v>4039</v>
      </c>
      <c r="Q1666" s="1" t="s">
        <v>42</v>
      </c>
      <c r="S1666" s="1" t="s">
        <v>42</v>
      </c>
      <c r="T1666" s="1" t="s">
        <v>153</v>
      </c>
      <c r="U1666" s="1">
        <v>134</v>
      </c>
      <c r="V1666" s="5">
        <v>42929</v>
      </c>
      <c r="W1666" s="5">
        <v>42779</v>
      </c>
      <c r="X1666" s="1">
        <v>9495000</v>
      </c>
      <c r="Y1666" s="1">
        <v>9495000</v>
      </c>
      <c r="Z1666" s="5">
        <v>42915</v>
      </c>
      <c r="AA1666" s="1">
        <v>8326975</v>
      </c>
      <c r="AB1666" s="1" t="s">
        <v>1432</v>
      </c>
      <c r="AC1666" s="5">
        <v>42914</v>
      </c>
      <c r="AF1666" s="1">
        <v>10010</v>
      </c>
      <c r="AI1666" s="1" t="s">
        <v>45</v>
      </c>
      <c r="AJ1666" s="1">
        <v>1915</v>
      </c>
      <c r="AK1666" s="1" t="s">
        <v>46</v>
      </c>
      <c r="AL1666" s="1">
        <v>125</v>
      </c>
    </row>
    <row r="1667" spans="1:38" x14ac:dyDescent="0.2">
      <c r="A1667" s="2" t="str">
        <f>HYPERLINK("https://www.compass.com/listing/10-madison-square-west-unit-11g-manhattan-ny-10010/29513460664625489/","10 Madison Sq W, Unit 11G")</f>
        <v>10 Madison Sq W, Unit 11G</v>
      </c>
      <c r="B1667" s="2" t="str">
        <f t="shared" si="253"/>
        <v>10 Madison Square West</v>
      </c>
      <c r="D1667" s="1" t="s">
        <v>41</v>
      </c>
      <c r="E1667" s="3">
        <v>1835000</v>
      </c>
      <c r="F1667" s="1">
        <v>1750.95419847328</v>
      </c>
      <c r="G1667" s="1">
        <v>3</v>
      </c>
      <c r="H1667" s="1">
        <v>1</v>
      </c>
      <c r="I1667" s="1">
        <v>2</v>
      </c>
      <c r="J1667" s="1">
        <v>1.5</v>
      </c>
      <c r="K1667" s="1">
        <v>1</v>
      </c>
      <c r="L1667" s="1">
        <v>1</v>
      </c>
      <c r="M1667" s="4">
        <v>1048</v>
      </c>
      <c r="N1667" s="1">
        <v>1316.44</v>
      </c>
      <c r="O1667" s="1">
        <v>3121.27</v>
      </c>
      <c r="P1667" s="1">
        <v>1804.8333333333301</v>
      </c>
      <c r="Q1667" s="1" t="s">
        <v>42</v>
      </c>
      <c r="S1667" s="1" t="s">
        <v>42</v>
      </c>
      <c r="T1667" s="1" t="s">
        <v>153</v>
      </c>
      <c r="U1667" s="1">
        <v>166</v>
      </c>
      <c r="V1667" s="5">
        <v>43712</v>
      </c>
      <c r="W1667" s="5">
        <v>42847</v>
      </c>
      <c r="X1667" s="1">
        <v>2748000</v>
      </c>
      <c r="Y1667" s="1">
        <v>2150000</v>
      </c>
      <c r="AA1667" s="1">
        <v>1835000</v>
      </c>
      <c r="AB1667" s="1" t="s">
        <v>1433</v>
      </c>
      <c r="AC1667" s="5">
        <v>43788</v>
      </c>
      <c r="AF1667" s="1">
        <v>10010</v>
      </c>
      <c r="AI1667" s="1" t="s">
        <v>45</v>
      </c>
      <c r="AJ1667" s="1">
        <v>1915</v>
      </c>
      <c r="AK1667" s="1" t="s">
        <v>46</v>
      </c>
      <c r="AL1667" s="1">
        <v>125</v>
      </c>
    </row>
    <row r="1668" spans="1:38" x14ac:dyDescent="0.2">
      <c r="A1668" s="2" t="str">
        <f>HYPERLINK("https://www.compass.com/listing/10-madison-square-west-unit-14d-manhattan-ny-10010/29374741970284609/","10 Madison Sq W, Unit 14D")</f>
        <v>10 Madison Sq W, Unit 14D</v>
      </c>
      <c r="B1668" s="2" t="str">
        <f t="shared" si="253"/>
        <v>10 Madison Square West</v>
      </c>
      <c r="C1668" s="1" t="s">
        <v>56</v>
      </c>
      <c r="D1668" s="1" t="s">
        <v>41</v>
      </c>
      <c r="E1668" s="3">
        <v>14255500</v>
      </c>
      <c r="F1668" s="1">
        <v>4308.0991236022901</v>
      </c>
      <c r="G1668" s="1">
        <v>8</v>
      </c>
      <c r="H1668" s="1">
        <v>4</v>
      </c>
      <c r="I1668" s="1">
        <v>5</v>
      </c>
      <c r="J1668" s="1">
        <v>4.5</v>
      </c>
      <c r="M1668" s="4">
        <v>3309</v>
      </c>
      <c r="N1668" s="1">
        <v>4146</v>
      </c>
      <c r="O1668" s="1">
        <v>4146</v>
      </c>
      <c r="Q1668" s="1" t="s">
        <v>42</v>
      </c>
      <c r="S1668" s="1" t="s">
        <v>42</v>
      </c>
      <c r="T1668" s="1" t="s">
        <v>153</v>
      </c>
      <c r="U1668" s="1">
        <v>197</v>
      </c>
      <c r="V1668" s="5">
        <v>43678</v>
      </c>
      <c r="W1668" s="5">
        <v>41976</v>
      </c>
      <c r="X1668" s="1">
        <v>14000000</v>
      </c>
      <c r="Y1668" s="1">
        <v>14000000</v>
      </c>
      <c r="Z1668" s="5">
        <v>42173</v>
      </c>
      <c r="AA1668" s="1">
        <v>14255500</v>
      </c>
      <c r="AB1668" s="1" t="s">
        <v>1434</v>
      </c>
      <c r="AC1668" s="5">
        <v>42494</v>
      </c>
      <c r="AF1668" s="1">
        <v>10010</v>
      </c>
      <c r="AI1668" s="1" t="s">
        <v>45</v>
      </c>
      <c r="AJ1668" s="1">
        <v>1915</v>
      </c>
      <c r="AK1668" s="1" t="s">
        <v>49</v>
      </c>
      <c r="AL1668" s="1">
        <v>125</v>
      </c>
    </row>
    <row r="1669" spans="1:38" x14ac:dyDescent="0.2">
      <c r="A1669" s="2" t="str">
        <f>HYPERLINK("https://www.compass.com/listing/10-madison-square-west-unit-14f-manhattan-ny-10010/212982211467563105/","10 Madison Sq W, Unit 14F")</f>
        <v>10 Madison Sq W, Unit 14F</v>
      </c>
      <c r="B1669" s="2" t="str">
        <f t="shared" si="253"/>
        <v>10 Madison Square West</v>
      </c>
      <c r="D1669" s="1" t="s">
        <v>41</v>
      </c>
      <c r="E1669" s="3">
        <v>7229575</v>
      </c>
      <c r="F1669" s="1">
        <v>2565.4985805535798</v>
      </c>
      <c r="G1669" s="1">
        <v>7</v>
      </c>
      <c r="H1669" s="1">
        <v>4</v>
      </c>
      <c r="I1669" s="1">
        <v>5</v>
      </c>
      <c r="J1669" s="1">
        <v>4.5</v>
      </c>
      <c r="M1669" s="4">
        <v>2818</v>
      </c>
      <c r="N1669" s="1">
        <v>3530</v>
      </c>
      <c r="O1669" s="1">
        <v>6419</v>
      </c>
      <c r="P1669" s="1">
        <v>2889</v>
      </c>
      <c r="Q1669" s="1" t="s">
        <v>42</v>
      </c>
      <c r="S1669" s="1" t="s">
        <v>42</v>
      </c>
      <c r="T1669" s="1" t="s">
        <v>153</v>
      </c>
      <c r="U1669" s="1">
        <v>133</v>
      </c>
      <c r="V1669" s="5">
        <v>42739</v>
      </c>
      <c r="W1669" s="5">
        <v>41655</v>
      </c>
      <c r="X1669" s="1">
        <v>7100000</v>
      </c>
      <c r="Y1669" s="1">
        <v>7100000</v>
      </c>
      <c r="Z1669" s="5">
        <v>42544</v>
      </c>
      <c r="AA1669" s="1">
        <v>7229575</v>
      </c>
      <c r="AB1669" s="1" t="s">
        <v>1435</v>
      </c>
      <c r="AC1669" s="5">
        <v>42559</v>
      </c>
      <c r="AF1669" s="1">
        <v>10010</v>
      </c>
      <c r="AI1669" s="1" t="s">
        <v>45</v>
      </c>
      <c r="AJ1669" s="1">
        <v>1915</v>
      </c>
      <c r="AK1669" s="1" t="s">
        <v>46</v>
      </c>
      <c r="AL1669" s="1">
        <v>125</v>
      </c>
    </row>
    <row r="1670" spans="1:38" x14ac:dyDescent="0.2">
      <c r="A1670" s="2" t="str">
        <f>HYPERLINK("https://www.compass.com/listing/10-madison-square-west-unit-phfl22-manhattan-ny-10010/4703712510434365201/","10 Madison Sq W, Unit PHFL22")</f>
        <v>10 Madison Sq W, Unit PHFL22</v>
      </c>
      <c r="B1670" s="2" t="str">
        <f t="shared" si="253"/>
        <v>10 Madison Square West</v>
      </c>
      <c r="D1670" s="1" t="s">
        <v>41</v>
      </c>
      <c r="E1670" s="3">
        <v>32500000</v>
      </c>
      <c r="F1670" s="1">
        <v>4988.4881043745199</v>
      </c>
      <c r="G1670" s="1">
        <v>16</v>
      </c>
      <c r="H1670" s="1">
        <v>5</v>
      </c>
      <c r="I1670" s="1">
        <v>6</v>
      </c>
      <c r="J1670" s="1">
        <v>6</v>
      </c>
      <c r="M1670" s="4">
        <v>6515</v>
      </c>
      <c r="N1670" s="1">
        <v>8106</v>
      </c>
      <c r="O1670" s="1">
        <v>8106</v>
      </c>
      <c r="Q1670" s="1" t="s">
        <v>42</v>
      </c>
      <c r="S1670" s="1" t="s">
        <v>42</v>
      </c>
      <c r="T1670" s="1" t="s">
        <v>153</v>
      </c>
      <c r="U1670" s="1">
        <v>197</v>
      </c>
      <c r="V1670" s="5">
        <v>42742</v>
      </c>
      <c r="W1670" s="5">
        <v>41760</v>
      </c>
      <c r="X1670" s="1">
        <v>35000000</v>
      </c>
      <c r="Y1670" s="1">
        <v>35000000</v>
      </c>
      <c r="Z1670" s="5">
        <v>41958</v>
      </c>
      <c r="AA1670" s="1">
        <v>32500000</v>
      </c>
      <c r="AB1670" s="1" t="s">
        <v>177</v>
      </c>
      <c r="AC1670" s="5">
        <v>42629</v>
      </c>
      <c r="AF1670" s="1">
        <v>10010</v>
      </c>
      <c r="AI1670" s="1" t="s">
        <v>233</v>
      </c>
      <c r="AJ1670" s="1">
        <v>1915</v>
      </c>
      <c r="AK1670" s="1" t="s">
        <v>46</v>
      </c>
      <c r="AL1670" s="1">
        <v>125</v>
      </c>
    </row>
    <row r="1671" spans="1:38" x14ac:dyDescent="0.2">
      <c r="A1671" s="2" t="str">
        <f>HYPERLINK("https://www.compass.com/listing/10-madison-square-west-unit-9f-manhattan-ny-10010/173184707071072161/","10 Madison Sq W, Unit 9F")</f>
        <v>10 Madison Sq W, Unit 9F</v>
      </c>
      <c r="B1671" s="2" t="str">
        <f t="shared" si="253"/>
        <v>10 Madison Square West</v>
      </c>
      <c r="D1671" s="1" t="s">
        <v>41</v>
      </c>
      <c r="E1671" s="3">
        <v>5220000</v>
      </c>
      <c r="F1671" s="1">
        <v>1852.37757274662</v>
      </c>
      <c r="G1671" s="1">
        <v>6</v>
      </c>
      <c r="H1671" s="1">
        <v>4</v>
      </c>
      <c r="I1671" s="1">
        <v>5</v>
      </c>
      <c r="J1671" s="1">
        <v>4.5</v>
      </c>
      <c r="K1671" s="1">
        <v>4</v>
      </c>
      <c r="L1671" s="1">
        <v>1</v>
      </c>
      <c r="M1671" s="4">
        <v>2818</v>
      </c>
      <c r="N1671" s="1">
        <v>3540</v>
      </c>
      <c r="O1671" s="1">
        <v>9345</v>
      </c>
      <c r="P1671" s="1">
        <v>5805</v>
      </c>
      <c r="Q1671" s="1" t="s">
        <v>42</v>
      </c>
      <c r="S1671" s="1" t="s">
        <v>42</v>
      </c>
      <c r="T1671" s="1" t="s">
        <v>153</v>
      </c>
      <c r="U1671" s="1">
        <v>410</v>
      </c>
      <c r="V1671" s="5">
        <v>44023</v>
      </c>
      <c r="W1671" s="5">
        <v>43489</v>
      </c>
      <c r="X1671" s="1">
        <v>6995000</v>
      </c>
      <c r="Y1671" s="1">
        <v>6300000</v>
      </c>
      <c r="Z1671" s="5">
        <v>43902</v>
      </c>
      <c r="AA1671" s="1">
        <v>5220000</v>
      </c>
      <c r="AB1671" s="1" t="s">
        <v>1436</v>
      </c>
      <c r="AC1671" s="5">
        <v>44019</v>
      </c>
      <c r="AF1671" s="1">
        <v>10010</v>
      </c>
      <c r="AI1671" s="1" t="s">
        <v>45</v>
      </c>
      <c r="AJ1671" s="1">
        <v>1915</v>
      </c>
      <c r="AK1671" s="1" t="s">
        <v>49</v>
      </c>
      <c r="AL1671" s="1">
        <v>125</v>
      </c>
    </row>
    <row r="1672" spans="1:38" x14ac:dyDescent="0.2">
      <c r="A1672" s="2" t="str">
        <f>HYPERLINK("https://www.compass.com/listing/10-madison-square-west-unit-11b-manhattan-ny-10010/276921850708103009/","10 Madison Sq W, Unit 11B")</f>
        <v>10 Madison Sq W, Unit 11B</v>
      </c>
      <c r="B1672" s="2" t="str">
        <f t="shared" si="253"/>
        <v>10 Madison Square West</v>
      </c>
      <c r="D1672" s="1" t="s">
        <v>41</v>
      </c>
      <c r="E1672" s="3">
        <v>1578288</v>
      </c>
      <c r="F1672" s="1">
        <v>1538.29191033138</v>
      </c>
      <c r="H1672" s="1">
        <v>1</v>
      </c>
      <c r="J1672" s="1">
        <v>1.5</v>
      </c>
      <c r="K1672" s="1">
        <v>1</v>
      </c>
      <c r="L1672" s="1">
        <v>1</v>
      </c>
      <c r="M1672" s="4">
        <v>1026</v>
      </c>
      <c r="Q1672" s="1" t="s">
        <v>42</v>
      </c>
      <c r="S1672" s="1" t="s">
        <v>42</v>
      </c>
      <c r="T1672" s="1" t="s">
        <v>153</v>
      </c>
      <c r="AA1672" s="1">
        <v>1578287.5</v>
      </c>
      <c r="AB1672" s="1" t="s">
        <v>1437</v>
      </c>
      <c r="AC1672" s="5">
        <v>42529</v>
      </c>
      <c r="AF1672" s="1">
        <v>10010</v>
      </c>
      <c r="AI1672" s="1" t="s">
        <v>45</v>
      </c>
      <c r="AJ1672" s="1">
        <v>1915</v>
      </c>
      <c r="AK1672" s="1" t="s">
        <v>49</v>
      </c>
      <c r="AL1672" s="1">
        <v>125</v>
      </c>
    </row>
    <row r="1673" spans="1:38" x14ac:dyDescent="0.2">
      <c r="A1673" s="2" t="str">
        <f>HYPERLINK("https://www.compass.com/listing/10-madison-square-west-unit-4b-manhattan-ny-10010/276921809343985889/","10 Madison Sq W, Unit 4B")</f>
        <v>10 Madison Sq W, Unit 4B</v>
      </c>
      <c r="B1673" s="2" t="str">
        <f t="shared" si="253"/>
        <v>10 Madison Square West</v>
      </c>
      <c r="D1673" s="1" t="s">
        <v>41</v>
      </c>
      <c r="E1673" s="3">
        <v>5142163</v>
      </c>
      <c r="F1673" s="1">
        <v>2544.3654131618</v>
      </c>
      <c r="H1673" s="1">
        <v>3</v>
      </c>
      <c r="J1673" s="1">
        <v>3.5</v>
      </c>
      <c r="M1673" s="4">
        <v>2021</v>
      </c>
      <c r="N1673" s="1">
        <v>2532</v>
      </c>
      <c r="O1673" s="1">
        <v>4604</v>
      </c>
      <c r="P1673" s="1">
        <v>2072</v>
      </c>
      <c r="Q1673" s="1" t="s">
        <v>42</v>
      </c>
      <c r="S1673" s="1" t="s">
        <v>42</v>
      </c>
      <c r="T1673" s="1" t="s">
        <v>153</v>
      </c>
      <c r="AA1673" s="1">
        <v>5142162.5</v>
      </c>
      <c r="AB1673" s="1" t="s">
        <v>1438</v>
      </c>
      <c r="AC1673" s="5">
        <v>42654</v>
      </c>
      <c r="AF1673" s="1">
        <v>10010</v>
      </c>
      <c r="AI1673" s="1" t="s">
        <v>45</v>
      </c>
      <c r="AJ1673" s="1">
        <v>1915</v>
      </c>
      <c r="AK1673" s="1" t="s">
        <v>49</v>
      </c>
      <c r="AL1673" s="1">
        <v>125</v>
      </c>
    </row>
    <row r="1674" spans="1:38" x14ac:dyDescent="0.2">
      <c r="A1674" s="2" t="str">
        <f>HYPERLINK("https://www.compass.com/listing/10-madison-square-west-unit-8g-manhattan-ny-10010/276921839836592001/","10 Madison Sq W, Unit 8G")</f>
        <v>10 Madison Sq W, Unit 8G</v>
      </c>
      <c r="B1674" s="2" t="str">
        <f t="shared" si="253"/>
        <v>10 Madison Square West</v>
      </c>
      <c r="D1674" s="1" t="s">
        <v>41</v>
      </c>
      <c r="E1674" s="3">
        <v>5753113</v>
      </c>
      <c r="F1674" s="1">
        <v>2443.9730246389099</v>
      </c>
      <c r="H1674" s="1">
        <v>3</v>
      </c>
      <c r="J1674" s="1">
        <v>3.5</v>
      </c>
      <c r="K1674" s="1">
        <v>3</v>
      </c>
      <c r="L1674" s="1">
        <v>1</v>
      </c>
      <c r="M1674" s="4">
        <v>2354</v>
      </c>
      <c r="N1674" s="1">
        <v>2857</v>
      </c>
      <c r="O1674" s="1">
        <v>7379</v>
      </c>
      <c r="P1674" s="1">
        <v>4522</v>
      </c>
      <c r="Q1674" s="1" t="s">
        <v>42</v>
      </c>
      <c r="S1674" s="1" t="s">
        <v>42</v>
      </c>
      <c r="T1674" s="1" t="s">
        <v>153</v>
      </c>
      <c r="AA1674" s="1">
        <v>5753112.5</v>
      </c>
      <c r="AB1674" s="1" t="s">
        <v>1439</v>
      </c>
      <c r="AC1674" s="5">
        <v>42489</v>
      </c>
      <c r="AF1674" s="1">
        <v>10010</v>
      </c>
      <c r="AI1674" s="1" t="s">
        <v>45</v>
      </c>
      <c r="AJ1674" s="1">
        <v>1915</v>
      </c>
      <c r="AK1674" s="1" t="s">
        <v>49</v>
      </c>
      <c r="AL1674" s="1">
        <v>125</v>
      </c>
    </row>
    <row r="1675" spans="1:38" x14ac:dyDescent="0.2">
      <c r="A1675" s="2" t="str">
        <f>HYPERLINK("https://www.compass.com/listing/10-madison-square-west-unit-18c-manhattan-ny-10010/276921884262552273/","10 Madison Sq W, Unit 18C")</f>
        <v>10 Madison Sq W, Unit 18C</v>
      </c>
      <c r="B1675" s="2" t="str">
        <f t="shared" si="253"/>
        <v>10 Madison Square West</v>
      </c>
      <c r="D1675" s="1" t="s">
        <v>41</v>
      </c>
      <c r="E1675" s="3">
        <v>13621140</v>
      </c>
      <c r="F1675" s="1">
        <v>5390.2414483577304</v>
      </c>
      <c r="H1675" s="1">
        <v>3</v>
      </c>
      <c r="J1675" s="1">
        <v>3.5</v>
      </c>
      <c r="M1675" s="4">
        <v>2527</v>
      </c>
      <c r="Q1675" s="1" t="s">
        <v>42</v>
      </c>
      <c r="S1675" s="1" t="s">
        <v>42</v>
      </c>
      <c r="T1675" s="1" t="s">
        <v>153</v>
      </c>
      <c r="AA1675" s="1">
        <v>13621140.140000001</v>
      </c>
      <c r="AB1675" s="1" t="s">
        <v>1440</v>
      </c>
      <c r="AC1675" s="5">
        <v>42881</v>
      </c>
      <c r="AF1675" s="1">
        <v>10010</v>
      </c>
      <c r="AI1675" s="1" t="s">
        <v>45</v>
      </c>
      <c r="AJ1675" s="1">
        <v>1915</v>
      </c>
      <c r="AK1675" s="1" t="s">
        <v>49</v>
      </c>
      <c r="AL1675" s="1">
        <v>125</v>
      </c>
    </row>
    <row r="1676" spans="1:38" x14ac:dyDescent="0.2">
      <c r="A1676" s="2" t="str">
        <f>HYPERLINK("https://www.compass.com/listing/10-madison-square-west-unit-6c-manhattan-ny-10010/276921823478766305/","10 Madison Sq W, Unit 6C")</f>
        <v>10 Madison Sq W, Unit 6C</v>
      </c>
      <c r="B1676" s="2" t="str">
        <f t="shared" si="253"/>
        <v>10 Madison Square West</v>
      </c>
      <c r="D1676" s="1" t="s">
        <v>41</v>
      </c>
      <c r="E1676" s="3">
        <v>3869350</v>
      </c>
      <c r="F1676" s="1">
        <v>2700.17445917655</v>
      </c>
      <c r="H1676" s="1">
        <v>2</v>
      </c>
      <c r="J1676" s="1">
        <v>2.5</v>
      </c>
      <c r="M1676" s="4">
        <v>1433</v>
      </c>
      <c r="N1676" s="1">
        <v>1795</v>
      </c>
      <c r="O1676" s="1">
        <v>1796</v>
      </c>
      <c r="P1676" s="1">
        <v>1</v>
      </c>
      <c r="Q1676" s="1" t="s">
        <v>42</v>
      </c>
      <c r="S1676" s="1" t="s">
        <v>42</v>
      </c>
      <c r="T1676" s="1" t="s">
        <v>153</v>
      </c>
      <c r="AA1676" s="1">
        <v>3869350</v>
      </c>
      <c r="AB1676" s="1" t="s">
        <v>1441</v>
      </c>
      <c r="AC1676" s="5">
        <v>42391</v>
      </c>
      <c r="AF1676" s="1">
        <v>10010</v>
      </c>
      <c r="AI1676" s="1" t="s">
        <v>45</v>
      </c>
      <c r="AJ1676" s="1">
        <v>1915</v>
      </c>
      <c r="AK1676" s="1" t="s">
        <v>49</v>
      </c>
      <c r="AL1676" s="1">
        <v>125</v>
      </c>
    </row>
    <row r="1677" spans="1:38" x14ac:dyDescent="0.2">
      <c r="A1677" s="2" t="str">
        <f>HYPERLINK("https://www.compass.com/listing/10-madison-square-west-unit-6g-manhattan-ny-10010/192573848175003985/","10 Madison Sq W, Unit 6G")</f>
        <v>10 Madison Sq W, Unit 6G</v>
      </c>
      <c r="B1677" s="2" t="str">
        <f t="shared" si="253"/>
        <v>10 Madison Square West</v>
      </c>
      <c r="D1677" s="1" t="s">
        <v>41</v>
      </c>
      <c r="E1677" s="3">
        <v>5950000</v>
      </c>
      <c r="F1677" s="1">
        <v>2527.61257434154</v>
      </c>
      <c r="G1677" s="1">
        <v>6</v>
      </c>
      <c r="H1677" s="1">
        <v>3</v>
      </c>
      <c r="I1677" s="1">
        <v>3</v>
      </c>
      <c r="J1677" s="1">
        <v>3</v>
      </c>
      <c r="M1677" s="4">
        <v>2354</v>
      </c>
      <c r="N1677" s="1">
        <v>2867</v>
      </c>
      <c r="O1677" s="1">
        <v>5099</v>
      </c>
      <c r="P1677" s="1">
        <v>2232</v>
      </c>
      <c r="Q1677" s="1" t="s">
        <v>42</v>
      </c>
      <c r="S1677" s="1" t="s">
        <v>42</v>
      </c>
      <c r="T1677" s="1" t="s">
        <v>153</v>
      </c>
      <c r="U1677" s="1">
        <v>3</v>
      </c>
      <c r="V1677" s="5">
        <v>42540</v>
      </c>
      <c r="W1677" s="5">
        <v>42534</v>
      </c>
      <c r="X1677" s="1">
        <v>5950000</v>
      </c>
      <c r="Y1677" s="1">
        <v>5950000</v>
      </c>
      <c r="AA1677" s="1">
        <v>5950000</v>
      </c>
      <c r="AB1677" s="1" t="s">
        <v>177</v>
      </c>
      <c r="AC1677" s="5">
        <v>42537</v>
      </c>
      <c r="AF1677" s="1">
        <v>10010</v>
      </c>
      <c r="AI1677" s="1" t="s">
        <v>45</v>
      </c>
      <c r="AJ1677" s="1">
        <v>1915</v>
      </c>
      <c r="AK1677" s="1" t="s">
        <v>49</v>
      </c>
      <c r="AL1677" s="1">
        <v>125</v>
      </c>
    </row>
    <row r="1678" spans="1:38" x14ac:dyDescent="0.2">
      <c r="A1678" s="2" t="str">
        <f>HYPERLINK("https://www.compass.com/listing/10-madison-square-west-unit-12d-manhattan-ny-10010/70924431685337825/","10 Madison Sq W, Unit 12D")</f>
        <v>10 Madison Sq W, Unit 12D</v>
      </c>
      <c r="B1678" s="2" t="str">
        <f t="shared" si="253"/>
        <v>10 Madison Square West</v>
      </c>
      <c r="C1678" s="1" t="s">
        <v>56</v>
      </c>
      <c r="D1678" s="1" t="s">
        <v>41</v>
      </c>
      <c r="E1678" s="3">
        <v>9750000</v>
      </c>
      <c r="F1678" s="1">
        <v>2946.5095194922901</v>
      </c>
      <c r="G1678" s="1">
        <v>6</v>
      </c>
      <c r="H1678" s="1">
        <v>3</v>
      </c>
      <c r="I1678" s="1">
        <v>3</v>
      </c>
      <c r="J1678" s="1">
        <v>3</v>
      </c>
      <c r="M1678" s="4">
        <v>3309</v>
      </c>
      <c r="Q1678" s="1" t="s">
        <v>42</v>
      </c>
      <c r="S1678" s="1" t="s">
        <v>42</v>
      </c>
      <c r="T1678" s="1" t="s">
        <v>153</v>
      </c>
      <c r="V1678" s="5">
        <v>43679</v>
      </c>
      <c r="W1678" s="5">
        <v>41480</v>
      </c>
      <c r="X1678" s="1">
        <v>9750000</v>
      </c>
      <c r="Y1678" s="1">
        <v>9750000</v>
      </c>
      <c r="Z1678" s="5">
        <v>41480</v>
      </c>
      <c r="AA1678" s="1">
        <v>9750000</v>
      </c>
      <c r="AB1678" s="1" t="s">
        <v>177</v>
      </c>
      <c r="AC1678" s="5">
        <v>42486</v>
      </c>
      <c r="AF1678" s="1">
        <v>10010</v>
      </c>
      <c r="AI1678" s="1" t="s">
        <v>45</v>
      </c>
      <c r="AJ1678" s="1">
        <v>1915</v>
      </c>
      <c r="AK1678" s="1" t="s">
        <v>49</v>
      </c>
      <c r="AL1678" s="1">
        <v>125</v>
      </c>
    </row>
    <row r="1679" spans="1:38" x14ac:dyDescent="0.2">
      <c r="A1679" s="2" t="str">
        <f>HYPERLINK("https://www.compass.com/listing/10-madison-square-west-unit-10c-manhattan-ny-10010/29374734319873969/","10 Madison Sq W, Unit 10C")</f>
        <v>10 Madison Sq W, Unit 10C</v>
      </c>
      <c r="B1679" s="2" t="str">
        <f t="shared" si="253"/>
        <v>10 Madison Square West</v>
      </c>
      <c r="D1679" s="1" t="s">
        <v>41</v>
      </c>
      <c r="E1679" s="3">
        <v>3996631</v>
      </c>
      <c r="F1679" s="1">
        <v>2246.5605677346798</v>
      </c>
      <c r="G1679" s="1">
        <v>6</v>
      </c>
      <c r="H1679" s="1">
        <v>2</v>
      </c>
      <c r="I1679" s="1">
        <v>3</v>
      </c>
      <c r="J1679" s="1">
        <v>2.5</v>
      </c>
      <c r="M1679" s="4">
        <v>1779</v>
      </c>
      <c r="Q1679" s="1" t="s">
        <v>42</v>
      </c>
      <c r="S1679" s="1" t="s">
        <v>42</v>
      </c>
      <c r="T1679" s="1" t="s">
        <v>153</v>
      </c>
      <c r="V1679" s="5">
        <v>42655</v>
      </c>
      <c r="W1679" s="5">
        <v>42486</v>
      </c>
      <c r="X1679" s="1">
        <v>3925000</v>
      </c>
      <c r="Y1679" s="1">
        <v>3925000</v>
      </c>
      <c r="AA1679" s="1">
        <v>3996631.25</v>
      </c>
      <c r="AB1679" s="1" t="s">
        <v>1442</v>
      </c>
      <c r="AC1679" s="5">
        <v>42486</v>
      </c>
      <c r="AF1679" s="1">
        <v>10010</v>
      </c>
      <c r="AI1679" s="1" t="s">
        <v>45</v>
      </c>
      <c r="AJ1679" s="1">
        <v>1915</v>
      </c>
      <c r="AK1679" s="1" t="s">
        <v>49</v>
      </c>
      <c r="AL1679" s="1">
        <v>125</v>
      </c>
    </row>
    <row r="1680" spans="1:38" x14ac:dyDescent="0.2">
      <c r="A1680" s="2" t="str">
        <f>HYPERLINK("https://www.compass.com/listing/10-madison-square-west-unit-12g-manhattan-ny-10010/70929299762376385/","10 Madison Sq W, Unit 12G")</f>
        <v>10 Madison Sq W, Unit 12G</v>
      </c>
      <c r="B1680" s="2" t="str">
        <f t="shared" si="253"/>
        <v>10 Madison Square West</v>
      </c>
      <c r="D1680" s="1" t="s">
        <v>41</v>
      </c>
      <c r="E1680" s="3">
        <v>2250000</v>
      </c>
      <c r="F1680" s="1">
        <v>2146.9465648854898</v>
      </c>
      <c r="G1680" s="1">
        <v>3</v>
      </c>
      <c r="H1680" s="1">
        <v>4</v>
      </c>
      <c r="I1680" s="1">
        <v>4</v>
      </c>
      <c r="J1680" s="1">
        <v>4.5</v>
      </c>
      <c r="K1680" s="1">
        <v>4</v>
      </c>
      <c r="L1680" s="1">
        <v>1</v>
      </c>
      <c r="M1680" s="4">
        <v>1048</v>
      </c>
      <c r="N1680" s="1">
        <v>1313</v>
      </c>
      <c r="O1680" s="1">
        <v>3116</v>
      </c>
      <c r="P1680" s="1">
        <v>1803</v>
      </c>
      <c r="Q1680" s="1" t="s">
        <v>42</v>
      </c>
      <c r="S1680" s="1" t="s">
        <v>42</v>
      </c>
      <c r="T1680" s="1" t="s">
        <v>153</v>
      </c>
      <c r="U1680" s="1">
        <v>35</v>
      </c>
      <c r="V1680" s="5">
        <v>43141</v>
      </c>
      <c r="W1680" s="5">
        <v>42760</v>
      </c>
      <c r="X1680" s="1">
        <v>2250000</v>
      </c>
      <c r="Y1680" s="1">
        <v>2250000</v>
      </c>
      <c r="AA1680" s="1">
        <v>2250000</v>
      </c>
      <c r="AB1680" s="1" t="s">
        <v>1421</v>
      </c>
      <c r="AC1680" s="5">
        <v>42795</v>
      </c>
      <c r="AF1680" s="1">
        <v>10010</v>
      </c>
      <c r="AI1680" s="1" t="s">
        <v>45</v>
      </c>
      <c r="AJ1680" s="1">
        <v>1915</v>
      </c>
      <c r="AK1680" s="1" t="s">
        <v>46</v>
      </c>
      <c r="AL1680" s="1">
        <v>125</v>
      </c>
    </row>
    <row r="1681" spans="1:38" x14ac:dyDescent="0.2">
      <c r="A1681" s="2" t="str">
        <f>HYPERLINK("https://www.compass.com/listing/10-madison-square-west-unit-12g-manhattan-ny-10010/276921859096797745/","10 Madison Sq W, Unit 12G")</f>
        <v>10 Madison Sq W, Unit 12G</v>
      </c>
      <c r="B1681" s="2" t="str">
        <f t="shared" si="253"/>
        <v>10 Madison Square West</v>
      </c>
      <c r="D1681" s="1" t="s">
        <v>41</v>
      </c>
      <c r="E1681" s="3">
        <v>1960131</v>
      </c>
      <c r="F1681" s="1">
        <v>1870.3542461832001</v>
      </c>
      <c r="H1681" s="1">
        <v>1</v>
      </c>
      <c r="J1681" s="1">
        <v>1.5</v>
      </c>
      <c r="K1681" s="1">
        <v>1</v>
      </c>
      <c r="L1681" s="1">
        <v>1</v>
      </c>
      <c r="M1681" s="4">
        <v>1048</v>
      </c>
      <c r="N1681" s="1">
        <v>1313.06</v>
      </c>
      <c r="O1681" s="1">
        <v>3116.06</v>
      </c>
      <c r="P1681" s="1">
        <v>1803</v>
      </c>
      <c r="Q1681" s="1" t="s">
        <v>42</v>
      </c>
      <c r="S1681" s="1" t="s">
        <v>42</v>
      </c>
      <c r="T1681" s="1" t="s">
        <v>153</v>
      </c>
      <c r="AA1681" s="1">
        <v>1960131.25</v>
      </c>
      <c r="AB1681" s="1" t="s">
        <v>1443</v>
      </c>
      <c r="AC1681" s="5">
        <v>42613</v>
      </c>
      <c r="AF1681" s="1">
        <v>10010</v>
      </c>
      <c r="AI1681" s="1" t="s">
        <v>45</v>
      </c>
      <c r="AJ1681" s="1">
        <v>1915</v>
      </c>
      <c r="AK1681" s="1" t="s">
        <v>49</v>
      </c>
      <c r="AL1681" s="1">
        <v>125</v>
      </c>
    </row>
    <row r="1682" spans="1:38" x14ac:dyDescent="0.2">
      <c r="A1682" s="2" t="str">
        <f>HYPERLINK("https://www.compass.com/listing/10-madison-square-west-unit-7a-manhattan-ny-10010/276921828369310289/","10 Madison Sq W, Unit 7A")</f>
        <v>10 Madison Sq W, Unit 7A</v>
      </c>
      <c r="B1682" s="2" t="str">
        <f t="shared" si="253"/>
        <v>10 Madison Square West</v>
      </c>
      <c r="D1682" s="1" t="s">
        <v>41</v>
      </c>
      <c r="E1682" s="3">
        <v>1705569</v>
      </c>
      <c r="F1682" s="1">
        <v>1916.3693820224701</v>
      </c>
      <c r="M1682" s="1">
        <v>890</v>
      </c>
      <c r="Q1682" s="1" t="s">
        <v>42</v>
      </c>
      <c r="S1682" s="1" t="s">
        <v>42</v>
      </c>
      <c r="T1682" s="1" t="s">
        <v>153</v>
      </c>
      <c r="AA1682" s="1">
        <v>1705568.75</v>
      </c>
      <c r="AB1682" s="1" t="s">
        <v>1444</v>
      </c>
      <c r="AC1682" s="5">
        <v>42440</v>
      </c>
      <c r="AF1682" s="1">
        <v>10010</v>
      </c>
      <c r="AI1682" s="1" t="s">
        <v>45</v>
      </c>
      <c r="AJ1682" s="1">
        <v>1915</v>
      </c>
      <c r="AK1682" s="1" t="s">
        <v>49</v>
      </c>
      <c r="AL1682" s="1">
        <v>125</v>
      </c>
    </row>
    <row r="1683" spans="1:38" x14ac:dyDescent="0.2">
      <c r="A1683" s="2" t="str">
        <f>HYPERLINK("https://www.compass.com/listing/10-madison-square-west-unit-10e-manhattan-ny-10010/276921848485219249/","10 Madison Sq W, Unit 10E")</f>
        <v>10 Madison Sq W, Unit 10E</v>
      </c>
      <c r="B1683" s="2" t="str">
        <f t="shared" si="253"/>
        <v>10 Madison Square West</v>
      </c>
      <c r="D1683" s="1" t="s">
        <v>41</v>
      </c>
      <c r="E1683" s="3">
        <v>8095088</v>
      </c>
      <c r="F1683" s="1">
        <v>3449.1212185769</v>
      </c>
      <c r="M1683" s="4">
        <v>2347</v>
      </c>
      <c r="Q1683" s="1" t="s">
        <v>42</v>
      </c>
      <c r="S1683" s="1" t="s">
        <v>42</v>
      </c>
      <c r="T1683" s="1" t="s">
        <v>153</v>
      </c>
      <c r="AA1683" s="1">
        <v>8095087.5</v>
      </c>
      <c r="AB1683" s="1" t="s">
        <v>1445</v>
      </c>
      <c r="AC1683" s="5">
        <v>42461</v>
      </c>
      <c r="AF1683" s="1">
        <v>10010</v>
      </c>
      <c r="AI1683" s="1" t="s">
        <v>45</v>
      </c>
      <c r="AJ1683" s="1">
        <v>1915</v>
      </c>
      <c r="AK1683" s="1" t="s">
        <v>49</v>
      </c>
      <c r="AL1683" s="1">
        <v>125</v>
      </c>
    </row>
    <row r="1684" spans="1:38" x14ac:dyDescent="0.2">
      <c r="A1684" s="2" t="str">
        <f>HYPERLINK("https://www.compass.com/listing/10-madison-square-west-unit-9b-manhattan-ny-10010/505496812506117153/","10 Madison Sq W, Unit 9B")</f>
        <v>10 Madison Sq W, Unit 9B</v>
      </c>
      <c r="B1684" s="2" t="str">
        <f t="shared" si="253"/>
        <v>10 Madison Square West</v>
      </c>
      <c r="D1684" s="1" t="s">
        <v>41</v>
      </c>
      <c r="E1684" s="3">
        <v>1662500</v>
      </c>
      <c r="F1684" s="1">
        <v>1620.37037037037</v>
      </c>
      <c r="M1684" s="4">
        <v>1026</v>
      </c>
      <c r="Q1684" s="1" t="s">
        <v>42</v>
      </c>
      <c r="S1684" s="1" t="s">
        <v>42</v>
      </c>
      <c r="T1684" s="1" t="s">
        <v>153</v>
      </c>
      <c r="AA1684" s="1">
        <v>1662500</v>
      </c>
      <c r="AB1684" s="1" t="s">
        <v>1446</v>
      </c>
      <c r="AC1684" s="5">
        <v>43942</v>
      </c>
      <c r="AF1684" s="1">
        <v>10010</v>
      </c>
      <c r="AI1684" s="1" t="s">
        <v>45</v>
      </c>
      <c r="AJ1684" s="1">
        <v>1915</v>
      </c>
      <c r="AK1684" s="1" t="s">
        <v>49</v>
      </c>
      <c r="AL1684" s="1">
        <v>125</v>
      </c>
    </row>
    <row r="1685" spans="1:38" x14ac:dyDescent="0.2">
      <c r="A1685" s="2" t="str">
        <f>HYPERLINK("https://www.compass.com/listing/105-bennett-avenue-unit-31b-manhattan-ny-10033/612326715085467697/","105 Bennett Ave, Unit 31B")</f>
        <v>105 Bennett Ave, Unit 31B</v>
      </c>
      <c r="B1685" s="2" t="str">
        <f>HYPERLINK("https://www.compass.com/building/105-bennett-ave-manhattan-ny-10033/282010034911706389/","105 Bennett Ave")</f>
        <v>105 Bennett Ave</v>
      </c>
      <c r="C1685" s="1" t="s">
        <v>122</v>
      </c>
      <c r="D1685" s="1" t="s">
        <v>41</v>
      </c>
      <c r="E1685" s="3">
        <v>500000</v>
      </c>
      <c r="F1685" s="1">
        <v>593.11981020166002</v>
      </c>
      <c r="G1685" s="1">
        <v>4</v>
      </c>
      <c r="H1685" s="1">
        <v>2</v>
      </c>
      <c r="I1685" s="1">
        <v>1</v>
      </c>
      <c r="J1685" s="1">
        <v>1</v>
      </c>
      <c r="K1685" s="1">
        <v>1</v>
      </c>
      <c r="M1685" s="1">
        <v>843</v>
      </c>
      <c r="N1685" s="1">
        <v>547</v>
      </c>
      <c r="O1685" s="1">
        <v>917</v>
      </c>
      <c r="P1685" s="1">
        <v>370</v>
      </c>
      <c r="Q1685" s="1" t="s">
        <v>42</v>
      </c>
      <c r="S1685" s="1" t="s">
        <v>42</v>
      </c>
      <c r="T1685" s="1" t="s">
        <v>153</v>
      </c>
      <c r="U1685" s="1">
        <v>141</v>
      </c>
      <c r="V1685" s="5">
        <v>44302</v>
      </c>
      <c r="W1685" s="5">
        <v>44097</v>
      </c>
      <c r="X1685" s="1">
        <v>505000</v>
      </c>
      <c r="Y1685" s="1">
        <v>505000</v>
      </c>
      <c r="Z1685" s="5">
        <v>44239</v>
      </c>
      <c r="AA1685" s="1">
        <v>500000</v>
      </c>
      <c r="AB1685" s="1" t="s">
        <v>1447</v>
      </c>
      <c r="AC1685" s="5">
        <v>44300</v>
      </c>
      <c r="AF1685" s="1">
        <v>10033</v>
      </c>
      <c r="AJ1685" s="1">
        <v>1939</v>
      </c>
      <c r="AL1685" s="1">
        <v>65</v>
      </c>
    </row>
    <row r="1686" spans="1:38" x14ac:dyDescent="0.2">
      <c r="A1686" s="2" t="str">
        <f>HYPERLINK("https://www.compass.com/listing/377-east-10th-street-unit-1c-manhattan-ny-10009/101101684310253969/","377 E 10th St, Unit 1C")</f>
        <v>377 E 10th St, Unit 1C</v>
      </c>
      <c r="B1686" s="2" t="str">
        <f>HYPERLINK("https://www.compass.com/building/377-e-10th-st-manhattan-ny-10009/281899773848466053/","377 E 10th St")</f>
        <v>377 E 10th St</v>
      </c>
      <c r="C1686" s="1" t="s">
        <v>52</v>
      </c>
      <c r="D1686" s="1" t="s">
        <v>41</v>
      </c>
      <c r="E1686" s="3">
        <v>102083</v>
      </c>
      <c r="Q1686" s="1" t="s">
        <v>117</v>
      </c>
      <c r="S1686" s="1" t="s">
        <v>117</v>
      </c>
      <c r="T1686" s="1" t="s">
        <v>153</v>
      </c>
      <c r="AA1686" s="1">
        <v>102083</v>
      </c>
      <c r="AB1686" s="1" t="s">
        <v>1448</v>
      </c>
      <c r="AC1686" s="5">
        <v>43388</v>
      </c>
      <c r="AF1686" s="1">
        <v>10009</v>
      </c>
      <c r="AJ1686" s="1">
        <v>1900</v>
      </c>
      <c r="AL1686" s="1">
        <v>12</v>
      </c>
    </row>
    <row r="1687" spans="1:38" x14ac:dyDescent="0.2">
      <c r="A1687" s="2" t="str">
        <f>HYPERLINK("https://www.compass.com/listing/450-west-42nd-street-unit-ph4f-manhattan-ny-10036/104754657485718625/","450 W 42nd St, Unit PH4F")</f>
        <v>450 W 42nd St, Unit PH4F</v>
      </c>
      <c r="B1687" s="2" t="str">
        <f>HYPERLINK("https://www.compass.com/building/mima-manhattan-ny/282025546404079525/","MiMA")</f>
        <v>MiMA</v>
      </c>
      <c r="C1687" s="1" t="s">
        <v>67</v>
      </c>
      <c r="D1687" s="1" t="s">
        <v>41</v>
      </c>
      <c r="E1687" s="3">
        <v>2815258</v>
      </c>
      <c r="F1687" s="1">
        <v>2760.0564705882298</v>
      </c>
      <c r="M1687" s="4">
        <v>1020</v>
      </c>
      <c r="Q1687" s="1" t="s">
        <v>42</v>
      </c>
      <c r="S1687" s="1" t="s">
        <v>42</v>
      </c>
      <c r="T1687" s="1" t="s">
        <v>153</v>
      </c>
      <c r="AA1687" s="1">
        <v>2815257.6</v>
      </c>
      <c r="AB1687" s="1" t="s">
        <v>1449</v>
      </c>
      <c r="AC1687" s="5">
        <v>43385</v>
      </c>
      <c r="AF1687" s="1">
        <v>10036</v>
      </c>
      <c r="AI1687" s="1" t="s">
        <v>1450</v>
      </c>
      <c r="AJ1687" s="1">
        <v>2012</v>
      </c>
      <c r="AK1687" s="1" t="s">
        <v>49</v>
      </c>
      <c r="AL1687" s="1">
        <v>943</v>
      </c>
    </row>
    <row r="1688" spans="1:38" x14ac:dyDescent="0.2">
      <c r="A1688" s="2" t="str">
        <f>HYPERLINK("https://www.compass.com/listing/441-convent-avenue-unit-2n-manhattan-ny-10031/105526925606365425/","441 Convent Ave, Unit 2N")</f>
        <v>441 Convent Ave, Unit 2N</v>
      </c>
      <c r="B1688" s="2" t="str">
        <f>HYPERLINK("https://www.compass.com/building/441-convent-ave-manhattan-ny-10031/281997455145425477/","441 Convent Ave")</f>
        <v>441 Convent Ave</v>
      </c>
      <c r="C1688" s="1" t="s">
        <v>82</v>
      </c>
      <c r="D1688" s="1" t="s">
        <v>41</v>
      </c>
      <c r="E1688" s="3">
        <v>370617</v>
      </c>
      <c r="F1688" s="1">
        <v>681.28125</v>
      </c>
      <c r="M1688" s="1">
        <v>544</v>
      </c>
      <c r="Q1688" s="1" t="s">
        <v>42</v>
      </c>
      <c r="S1688" s="1" t="s">
        <v>42</v>
      </c>
      <c r="T1688" s="1" t="s">
        <v>153</v>
      </c>
      <c r="AA1688" s="1">
        <v>370617</v>
      </c>
      <c r="AB1688" s="1" t="s">
        <v>1451</v>
      </c>
      <c r="AC1688" s="5">
        <v>43392</v>
      </c>
      <c r="AF1688" s="1">
        <v>10031</v>
      </c>
      <c r="AJ1688" s="1">
        <v>1951</v>
      </c>
      <c r="AL1688" s="1">
        <v>90</v>
      </c>
    </row>
    <row r="1689" spans="1:38" x14ac:dyDescent="0.2">
      <c r="A1689" s="2" t="str">
        <f>HYPERLINK("https://www.compass.com/listing/450-west-42nd-street-unit-54a-manhattan-ny-10036/109829032245311041/","450 W 42nd St, Unit 54A")</f>
        <v>450 W 42nd St, Unit 54A</v>
      </c>
      <c r="B1689" s="2" t="str">
        <f>HYPERLINK("https://www.compass.com/building/mima-manhattan-ny/282025546404079525/","MiMA")</f>
        <v>MiMA</v>
      </c>
      <c r="C1689" s="1" t="s">
        <v>67</v>
      </c>
      <c r="D1689" s="1" t="s">
        <v>41</v>
      </c>
      <c r="E1689" s="3">
        <v>1590507</v>
      </c>
      <c r="F1689" s="1">
        <v>2718.8145299145299</v>
      </c>
      <c r="M1689" s="1">
        <v>585</v>
      </c>
      <c r="Q1689" s="1" t="s">
        <v>42</v>
      </c>
      <c r="S1689" s="1" t="s">
        <v>42</v>
      </c>
      <c r="T1689" s="1" t="s">
        <v>153</v>
      </c>
      <c r="AA1689" s="1">
        <v>1590506.5</v>
      </c>
      <c r="AB1689" s="1" t="s">
        <v>1452</v>
      </c>
      <c r="AC1689" s="5">
        <v>43397</v>
      </c>
      <c r="AF1689" s="1">
        <v>10036</v>
      </c>
      <c r="AI1689" s="1" t="s">
        <v>1450</v>
      </c>
      <c r="AJ1689" s="1">
        <v>2012</v>
      </c>
      <c r="AK1689" s="1" t="s">
        <v>49</v>
      </c>
      <c r="AL1689" s="1">
        <v>943</v>
      </c>
    </row>
    <row r="1690" spans="1:38" x14ac:dyDescent="0.2">
      <c r="A1690" s="2" t="str">
        <f>HYPERLINK("https://www.compass.com/listing/115-nassau-street-unit-37a-manhattan-ny-10038/117061412450309265/","115 Nassau St, Unit 37A")</f>
        <v>115 Nassau St, Unit 37A</v>
      </c>
      <c r="B1690" s="2" t="str">
        <f>HYPERLINK("https://www.compass.com/building/115-nassau-street-manhattan-ny/282058508331940421/","115 Nassau Street")</f>
        <v>115 Nassau Street</v>
      </c>
      <c r="C1690" s="1" t="s">
        <v>1453</v>
      </c>
      <c r="D1690" s="1" t="s">
        <v>41</v>
      </c>
      <c r="E1690" s="3">
        <v>2771175</v>
      </c>
      <c r="F1690" s="1">
        <v>1989.35750179468</v>
      </c>
      <c r="M1690" s="4">
        <v>1393</v>
      </c>
      <c r="Q1690" s="1" t="s">
        <v>42</v>
      </c>
      <c r="S1690" s="1" t="s">
        <v>42</v>
      </c>
      <c r="T1690" s="1" t="s">
        <v>153</v>
      </c>
      <c r="AA1690" s="1">
        <v>2771175</v>
      </c>
      <c r="AB1690" s="1" t="s">
        <v>1454</v>
      </c>
      <c r="AC1690" s="5">
        <v>43396</v>
      </c>
      <c r="AF1690" s="1">
        <v>10038</v>
      </c>
      <c r="AJ1690" s="1">
        <v>2013</v>
      </c>
    </row>
    <row r="1691" spans="1:38" x14ac:dyDescent="0.2">
      <c r="A1691" s="2" t="str">
        <f>HYPERLINK("https://www.compass.com/listing/441-convent-avenue-unit-6b-manhattan-ny-10031/132355142031890097/","441 Convent Ave, Unit 6B")</f>
        <v>441 Convent Ave, Unit 6B</v>
      </c>
      <c r="B1691" s="2" t="str">
        <f>HYPERLINK("https://www.compass.com/building/441-convent-ave-manhattan-ny-10031/281997455145425477/","441 Convent Ave")</f>
        <v>441 Convent Ave</v>
      </c>
      <c r="C1691" s="1" t="s">
        <v>82</v>
      </c>
      <c r="D1691" s="1" t="s">
        <v>41</v>
      </c>
      <c r="E1691" s="3">
        <v>550000</v>
      </c>
      <c r="F1691" s="1">
        <v>810.01472754049996</v>
      </c>
      <c r="M1691" s="1">
        <v>679</v>
      </c>
      <c r="Q1691" s="1" t="s">
        <v>42</v>
      </c>
      <c r="S1691" s="1" t="s">
        <v>42</v>
      </c>
      <c r="T1691" s="1" t="s">
        <v>153</v>
      </c>
      <c r="AA1691" s="1">
        <v>550000</v>
      </c>
      <c r="AB1691" s="1" t="s">
        <v>1455</v>
      </c>
      <c r="AC1691" s="5">
        <v>43417</v>
      </c>
      <c r="AF1691" s="1">
        <v>10031</v>
      </c>
      <c r="AJ1691" s="1">
        <v>1951</v>
      </c>
      <c r="AL1691" s="1">
        <v>90</v>
      </c>
    </row>
    <row r="1692" spans="1:38" x14ac:dyDescent="0.2">
      <c r="A1692" s="2" t="str">
        <f>HYPERLINK("https://www.compass.com/listing/544-east-13th-street-unit-1ab-manhattan-ny-10009/138084347814164673/","544 E 13th St, Unit 1AB")</f>
        <v>544 E 13th St, Unit 1AB</v>
      </c>
      <c r="B1692" s="2" t="str">
        <f>HYPERLINK("https://www.compass.com/building/544-e-13th-st-manhattan-ny-10009/281901024665418437/","544 E 13th St")</f>
        <v>544 E 13th St</v>
      </c>
      <c r="C1692" s="1" t="s">
        <v>52</v>
      </c>
      <c r="D1692" s="1" t="s">
        <v>41</v>
      </c>
      <c r="E1692" s="3">
        <v>102083</v>
      </c>
      <c r="Q1692" s="1" t="s">
        <v>117</v>
      </c>
      <c r="S1692" s="1" t="s">
        <v>117</v>
      </c>
      <c r="T1692" s="1" t="s">
        <v>153</v>
      </c>
      <c r="AA1692" s="1">
        <v>102083</v>
      </c>
      <c r="AB1692" s="1" t="s">
        <v>1456</v>
      </c>
      <c r="AC1692" s="5">
        <v>43434</v>
      </c>
      <c r="AF1692" s="1">
        <v>10009</v>
      </c>
      <c r="AJ1692" s="1">
        <v>1900</v>
      </c>
      <c r="AL1692" s="1">
        <v>11</v>
      </c>
    </row>
    <row r="1693" spans="1:38" x14ac:dyDescent="0.2">
      <c r="A1693" s="2" t="str">
        <f>HYPERLINK("https://www.compass.com/listing/192-lenox-avenue-unit-retail-manhattan-ny-10027/13810602187242241/","192 Lenox Ave, Unit RETAIL")</f>
        <v>192 Lenox Ave, Unit RETAIL</v>
      </c>
      <c r="B1693" s="2" t="str">
        <f>HYPERLINK("https://www.compass.com/building/192-lenox-ave-manhattan-ny-10027/281975082820136613/","192 Lenox Ave")</f>
        <v>192 Lenox Ave</v>
      </c>
      <c r="C1693" s="1" t="s">
        <v>60</v>
      </c>
      <c r="D1693" s="1" t="s">
        <v>41</v>
      </c>
      <c r="E1693" s="3">
        <v>1000000</v>
      </c>
      <c r="F1693" s="1">
        <v>1109.87791342952</v>
      </c>
      <c r="G1693" s="1">
        <v>1</v>
      </c>
      <c r="H1693" s="1" t="s">
        <v>94</v>
      </c>
      <c r="I1693" s="1">
        <v>1</v>
      </c>
      <c r="J1693" s="1">
        <v>0.5</v>
      </c>
      <c r="M1693" s="1">
        <v>901</v>
      </c>
      <c r="N1693" s="1">
        <v>718</v>
      </c>
      <c r="O1693" s="1">
        <v>718</v>
      </c>
      <c r="Q1693" s="1" t="s">
        <v>42</v>
      </c>
      <c r="S1693" s="1" t="s">
        <v>42</v>
      </c>
      <c r="T1693" s="1" t="s">
        <v>153</v>
      </c>
      <c r="U1693" s="1">
        <v>221</v>
      </c>
      <c r="V1693" s="5">
        <v>42405</v>
      </c>
      <c r="W1693" s="5">
        <v>42181</v>
      </c>
      <c r="X1693" s="1">
        <v>1400000</v>
      </c>
      <c r="Y1693" s="1">
        <v>1200000</v>
      </c>
      <c r="Z1693" s="5">
        <v>42403</v>
      </c>
      <c r="AA1693" s="1">
        <v>1000000</v>
      </c>
      <c r="AB1693" s="1" t="s">
        <v>177</v>
      </c>
      <c r="AC1693" s="5">
        <v>42405</v>
      </c>
      <c r="AF1693" s="1">
        <v>10027</v>
      </c>
      <c r="AI1693" s="1" t="s">
        <v>80</v>
      </c>
      <c r="AJ1693" s="1">
        <v>1909</v>
      </c>
      <c r="AL1693" s="1">
        <v>6</v>
      </c>
    </row>
    <row r="1694" spans="1:38" x14ac:dyDescent="0.2">
      <c r="A1694" s="2" t="str">
        <f>HYPERLINK("https://www.compass.com/listing/441-convent-avenue-unit-5b-manhattan-ny-10031/146851663347550225/","441 Convent Ave, Unit 5B")</f>
        <v>441 Convent Ave, Unit 5B</v>
      </c>
      <c r="B1694" s="2" t="str">
        <f>HYPERLINK("https://www.compass.com/building/441-convent-ave-manhattan-ny-10031/281997455145425477/","441 Convent Ave")</f>
        <v>441 Convent Ave</v>
      </c>
      <c r="C1694" s="1" t="s">
        <v>82</v>
      </c>
      <c r="D1694" s="1" t="s">
        <v>41</v>
      </c>
      <c r="E1694" s="3">
        <v>544928</v>
      </c>
      <c r="F1694" s="1">
        <v>802.54418262150205</v>
      </c>
      <c r="H1694" s="1">
        <v>1</v>
      </c>
      <c r="J1694" s="1">
        <v>1</v>
      </c>
      <c r="M1694" s="1">
        <v>679</v>
      </c>
      <c r="N1694" s="1">
        <v>441</v>
      </c>
      <c r="O1694" s="1">
        <v>670</v>
      </c>
      <c r="P1694" s="1">
        <v>229</v>
      </c>
      <c r="Q1694" s="1" t="s">
        <v>42</v>
      </c>
      <c r="S1694" s="1" t="s">
        <v>42</v>
      </c>
      <c r="T1694" s="1" t="s">
        <v>153</v>
      </c>
      <c r="AA1694" s="1">
        <v>544927.5</v>
      </c>
      <c r="AB1694" s="1" t="s">
        <v>1457</v>
      </c>
      <c r="AC1694" s="5">
        <v>43448</v>
      </c>
      <c r="AF1694" s="1">
        <v>10031</v>
      </c>
      <c r="AJ1694" s="1">
        <v>1951</v>
      </c>
      <c r="AL1694" s="1">
        <v>90</v>
      </c>
    </row>
    <row r="1695" spans="1:38" x14ac:dyDescent="0.2">
      <c r="A1695" s="2" t="str">
        <f>HYPERLINK("https://www.compass.com/listing/15-hubert-street-unit-5c-manhattan-ny-10013/157648763438002737/","15 Hubert St, Unit 5C")</f>
        <v>15 Hubert St, Unit 5C</v>
      </c>
      <c r="B1695" s="2" t="str">
        <f>HYPERLINK("https://www.compass.com/building/15-hubert-st-manhattan-ny-10013/281929572709086677/","15 Hubert St")</f>
        <v>15 Hubert St</v>
      </c>
      <c r="C1695" s="1" t="s">
        <v>65</v>
      </c>
      <c r="D1695" s="1" t="s">
        <v>41</v>
      </c>
      <c r="E1695" s="3">
        <v>5550188</v>
      </c>
      <c r="F1695" s="1">
        <v>1961.1969964664299</v>
      </c>
      <c r="M1695" s="4">
        <v>2830</v>
      </c>
      <c r="Q1695" s="1" t="s">
        <v>42</v>
      </c>
      <c r="S1695" s="1" t="s">
        <v>42</v>
      </c>
      <c r="T1695" s="1" t="s">
        <v>153</v>
      </c>
      <c r="AA1695" s="1">
        <v>5550187.5</v>
      </c>
      <c r="AB1695" s="1" t="s">
        <v>1458</v>
      </c>
      <c r="AC1695" s="5">
        <v>43423</v>
      </c>
      <c r="AF1695" s="1">
        <v>10013</v>
      </c>
      <c r="AI1695" s="1" t="s">
        <v>107</v>
      </c>
      <c r="AJ1695" s="1">
        <v>1867</v>
      </c>
      <c r="AK1695" s="1" t="s">
        <v>59</v>
      </c>
      <c r="AL1695" s="1">
        <v>13</v>
      </c>
    </row>
    <row r="1696" spans="1:38" x14ac:dyDescent="0.2">
      <c r="A1696" s="2" t="str">
        <f>HYPERLINK("https://www.compass.com/listing/544-east-13th-street-unit-gb-manhattan-ny-10009/157651165960472897/","544 E 13th St, Unit GB")</f>
        <v>544 E 13th St, Unit GB</v>
      </c>
      <c r="B1696" s="2" t="str">
        <f>HYPERLINK("https://www.compass.com/building/544-e-13th-st-manhattan-ny-10009/281901024665418437/","544 E 13th St")</f>
        <v>544 E 13th St</v>
      </c>
      <c r="C1696" s="1" t="s">
        <v>52</v>
      </c>
      <c r="D1696" s="1" t="s">
        <v>41</v>
      </c>
      <c r="E1696" s="3">
        <v>102083</v>
      </c>
      <c r="Q1696" s="1" t="s">
        <v>117</v>
      </c>
      <c r="S1696" s="1" t="s">
        <v>117</v>
      </c>
      <c r="T1696" s="1" t="s">
        <v>153</v>
      </c>
      <c r="AA1696" s="1">
        <v>102083</v>
      </c>
      <c r="AB1696" s="1" t="s">
        <v>1459</v>
      </c>
      <c r="AC1696" s="5">
        <v>43440</v>
      </c>
      <c r="AF1696" s="1">
        <v>10009</v>
      </c>
      <c r="AJ1696" s="1">
        <v>1900</v>
      </c>
      <c r="AL1696" s="1">
        <v>11</v>
      </c>
    </row>
    <row r="1697" spans="1:38" x14ac:dyDescent="0.2">
      <c r="A1697" s="2" t="str">
        <f>HYPERLINK("https://www.compass.com/listing/450-west-42nd-street-unit-55f-manhattan-ny-10036/158404147001977729/","450 W 42nd St, Unit 55F")</f>
        <v>450 W 42nd St, Unit 55F</v>
      </c>
      <c r="B1697" s="2" t="str">
        <f>HYPERLINK("https://www.compass.com/building/mima-manhattan-ny/282025546404079525/","MiMA")</f>
        <v>MiMA</v>
      </c>
      <c r="C1697" s="1" t="s">
        <v>67</v>
      </c>
      <c r="D1697" s="1" t="s">
        <v>41</v>
      </c>
      <c r="E1697" s="3">
        <v>2495000</v>
      </c>
      <c r="F1697" s="1">
        <v>2446.0784313725399</v>
      </c>
      <c r="M1697" s="4">
        <v>1020</v>
      </c>
      <c r="Q1697" s="1" t="s">
        <v>42</v>
      </c>
      <c r="S1697" s="1" t="s">
        <v>42</v>
      </c>
      <c r="T1697" s="1" t="s">
        <v>153</v>
      </c>
      <c r="AA1697" s="1">
        <v>2495000</v>
      </c>
      <c r="AB1697" s="1" t="s">
        <v>1460</v>
      </c>
      <c r="AC1697" s="5">
        <v>43462</v>
      </c>
      <c r="AF1697" s="1">
        <v>10036</v>
      </c>
      <c r="AI1697" s="1" t="s">
        <v>1450</v>
      </c>
      <c r="AJ1697" s="1">
        <v>2012</v>
      </c>
      <c r="AK1697" s="1" t="s">
        <v>49</v>
      </c>
      <c r="AL1697" s="1">
        <v>943</v>
      </c>
    </row>
    <row r="1698" spans="1:38" x14ac:dyDescent="0.2">
      <c r="A1698" s="2" t="str">
        <f>HYPERLINK("https://www.compass.com/listing/2-park-place-unit-29a-manhattan-ny-10007/171418447597613457/","2 Park Pl, Unit 29A")</f>
        <v>2 Park Pl, Unit 29A</v>
      </c>
      <c r="B1698" s="2" t="str">
        <f>HYPERLINK("https://www.compass.com/building/the-woolworth-tower-residences-manhattan-ny/294842395015266853/","The Woolworth Tower Residences")</f>
        <v>The Woolworth Tower Residences</v>
      </c>
      <c r="C1698" s="1" t="s">
        <v>65</v>
      </c>
      <c r="D1698" s="1" t="s">
        <v>41</v>
      </c>
      <c r="E1698" s="3">
        <v>823362</v>
      </c>
      <c r="F1698" s="1">
        <v>5.6757325925262103</v>
      </c>
      <c r="M1698" s="4">
        <v>145067</v>
      </c>
      <c r="Q1698" s="1" t="s">
        <v>42</v>
      </c>
      <c r="S1698" s="1" t="s">
        <v>42</v>
      </c>
      <c r="T1698" s="1" t="s">
        <v>153</v>
      </c>
      <c r="AA1698" s="1">
        <v>823361.5</v>
      </c>
      <c r="AB1698" s="1" t="s">
        <v>1461</v>
      </c>
      <c r="AC1698" s="5">
        <v>43369</v>
      </c>
      <c r="AF1698" s="1">
        <v>10007</v>
      </c>
      <c r="AJ1698" s="1">
        <v>1913</v>
      </c>
      <c r="AK1698" s="1" t="s">
        <v>49</v>
      </c>
      <c r="AL1698" s="1">
        <v>32</v>
      </c>
    </row>
    <row r="1699" spans="1:38" x14ac:dyDescent="0.2">
      <c r="A1699" s="2" t="str">
        <f>HYPERLINK("https://www.compass.com/listing/21-east-61st-street-unit-townh-manhattan-ny-10065/177997930454660801/","21 E 61st St, Unit TOWNH")</f>
        <v>21 E 61st St, Unit TOWNH</v>
      </c>
      <c r="B1699" s="2" t="str">
        <f>HYPERLINK("https://www.compass.com/building/the-carlton-house-manhattan-ny/292926373863910149/","The Carlton House")</f>
        <v>The Carlton House</v>
      </c>
      <c r="C1699" s="1" t="s">
        <v>98</v>
      </c>
      <c r="D1699" s="1" t="s">
        <v>41</v>
      </c>
      <c r="E1699" s="3">
        <v>27496000</v>
      </c>
      <c r="Q1699" s="1" t="s">
        <v>117</v>
      </c>
      <c r="S1699" s="1" t="s">
        <v>117</v>
      </c>
      <c r="T1699" s="1" t="s">
        <v>153</v>
      </c>
      <c r="AA1699" s="1">
        <v>27496000</v>
      </c>
      <c r="AB1699" s="1" t="s">
        <v>1462</v>
      </c>
      <c r="AC1699" s="5">
        <v>43482</v>
      </c>
      <c r="AF1699" s="1">
        <v>10065</v>
      </c>
      <c r="AJ1699" s="1">
        <v>1951</v>
      </c>
      <c r="AK1699" s="1" t="s">
        <v>99</v>
      </c>
      <c r="AL1699" s="1">
        <v>68</v>
      </c>
    </row>
    <row r="1700" spans="1:38" x14ac:dyDescent="0.2">
      <c r="A1700" s="2" t="str">
        <f>HYPERLINK("https://www.compass.com/listing/425-west-50th-street-unit-15f-manhattan-ny-10019/181037845467728865/","425 W 50th St, Unit 15F")</f>
        <v>425 W 50th St, Unit 15F</v>
      </c>
      <c r="B1700" s="2" t="str">
        <f>HYPERLINK("https://www.compass.com/building/stella-tower-manhattan-ny/281945855710262181/","Stella Tower")</f>
        <v>Stella Tower</v>
      </c>
      <c r="C1700" s="1" t="s">
        <v>67</v>
      </c>
      <c r="D1700" s="1" t="s">
        <v>41</v>
      </c>
      <c r="E1700" s="3">
        <v>5595284</v>
      </c>
      <c r="F1700" s="1">
        <v>2544.4674852205499</v>
      </c>
      <c r="G1700" s="1">
        <v>5</v>
      </c>
      <c r="H1700" s="1">
        <v>3</v>
      </c>
      <c r="I1700" s="1">
        <v>4</v>
      </c>
      <c r="J1700" s="1">
        <v>3.5</v>
      </c>
      <c r="M1700" s="4">
        <v>2199</v>
      </c>
      <c r="N1700" s="1">
        <v>2497</v>
      </c>
      <c r="O1700" s="1">
        <v>4026</v>
      </c>
      <c r="P1700" s="1">
        <v>1529</v>
      </c>
      <c r="Q1700" s="1" t="s">
        <v>42</v>
      </c>
      <c r="S1700" s="1" t="s">
        <v>42</v>
      </c>
      <c r="T1700" s="1" t="s">
        <v>153</v>
      </c>
      <c r="U1700" s="1">
        <v>11</v>
      </c>
      <c r="V1700" s="5">
        <v>43634</v>
      </c>
      <c r="W1700" s="5">
        <v>42262</v>
      </c>
      <c r="X1700" s="1">
        <v>5495000</v>
      </c>
      <c r="Y1700" s="1">
        <v>5495000</v>
      </c>
      <c r="Z1700" s="5">
        <v>42273</v>
      </c>
      <c r="AA1700" s="1">
        <v>5595284</v>
      </c>
      <c r="AB1700" s="1" t="s">
        <v>1171</v>
      </c>
      <c r="AC1700" s="5">
        <v>42328</v>
      </c>
      <c r="AF1700" s="1">
        <v>10019</v>
      </c>
      <c r="AI1700" s="1" t="s">
        <v>45</v>
      </c>
      <c r="AJ1700" s="1">
        <v>1930</v>
      </c>
      <c r="AK1700" s="1" t="s">
        <v>46</v>
      </c>
      <c r="AL1700" s="1">
        <v>51</v>
      </c>
    </row>
    <row r="1701" spans="1:38" x14ac:dyDescent="0.2">
      <c r="A1701" s="2" t="str">
        <f>HYPERLINK("https://www.compass.com/listing/544-east-13th-street-unit-ga-manhattan-ny-10009/187370337145560321/","544 E 13th St, Unit GA")</f>
        <v>544 E 13th St, Unit GA</v>
      </c>
      <c r="B1701" s="2" t="str">
        <f>HYPERLINK("https://www.compass.com/building/544-e-13th-st-manhattan-ny-10009/281901024665418437/","544 E 13th St")</f>
        <v>544 E 13th St</v>
      </c>
      <c r="C1701" s="1" t="s">
        <v>52</v>
      </c>
      <c r="D1701" s="1" t="s">
        <v>41</v>
      </c>
      <c r="E1701" s="3">
        <v>102083</v>
      </c>
      <c r="Q1701" s="1" t="s">
        <v>117</v>
      </c>
      <c r="S1701" s="1" t="s">
        <v>117</v>
      </c>
      <c r="T1701" s="1" t="s">
        <v>153</v>
      </c>
      <c r="AA1701" s="1">
        <v>102083</v>
      </c>
      <c r="AB1701" s="1" t="s">
        <v>1463</v>
      </c>
      <c r="AC1701" s="5">
        <v>43496</v>
      </c>
      <c r="AF1701" s="1">
        <v>10009</v>
      </c>
      <c r="AJ1701" s="1">
        <v>1900</v>
      </c>
      <c r="AL1701" s="1">
        <v>11</v>
      </c>
    </row>
    <row r="1702" spans="1:38" x14ac:dyDescent="0.2">
      <c r="A1702" s="2" t="str">
        <f>HYPERLINK("https://www.compass.com/listing/1325-5th-avenue-unit-2k-manhattan-ny-10029/187571904121438609/","1325 5th Ave, Unit 2K")</f>
        <v>1325 5th Ave, Unit 2K</v>
      </c>
      <c r="B1702" s="2" t="str">
        <f>HYPERLINK("https://www.compass.com/building/the-fifth-avenue-manhattan-ny/294843719022876805/","The Fifth Avenue")</f>
        <v>The Fifth Avenue</v>
      </c>
      <c r="C1702" s="1" t="s">
        <v>226</v>
      </c>
      <c r="D1702" s="1" t="s">
        <v>41</v>
      </c>
      <c r="E1702" s="3">
        <v>1385000</v>
      </c>
      <c r="F1702" s="1">
        <v>1039.0097524380999</v>
      </c>
      <c r="G1702" s="1">
        <v>5</v>
      </c>
      <c r="H1702" s="1">
        <v>3</v>
      </c>
      <c r="I1702" s="1">
        <v>2</v>
      </c>
      <c r="J1702" s="1">
        <v>2</v>
      </c>
      <c r="K1702" s="1">
        <v>2</v>
      </c>
      <c r="M1702" s="4">
        <v>1333</v>
      </c>
      <c r="N1702" s="1">
        <v>1357.86</v>
      </c>
      <c r="O1702" s="1">
        <v>2111.9299999999998</v>
      </c>
      <c r="P1702" s="1">
        <v>754.08333333333303</v>
      </c>
      <c r="Q1702" s="1" t="s">
        <v>42</v>
      </c>
      <c r="S1702" s="1" t="s">
        <v>42</v>
      </c>
      <c r="T1702" s="1" t="s">
        <v>153</v>
      </c>
      <c r="U1702" s="1">
        <v>90</v>
      </c>
      <c r="V1702" s="5">
        <v>43871</v>
      </c>
      <c r="W1702" s="5">
        <v>43511</v>
      </c>
      <c r="X1702" s="1">
        <v>1630000</v>
      </c>
      <c r="Y1702" s="1">
        <v>1450000</v>
      </c>
      <c r="Z1702" s="5">
        <v>43601</v>
      </c>
      <c r="AA1702" s="1">
        <v>1385000</v>
      </c>
      <c r="AB1702" s="1" t="s">
        <v>1464</v>
      </c>
      <c r="AC1702" s="5">
        <v>43860</v>
      </c>
      <c r="AF1702" s="1">
        <v>10029</v>
      </c>
      <c r="AI1702" s="1" t="s">
        <v>1465</v>
      </c>
      <c r="AJ1702" s="1">
        <v>1989</v>
      </c>
      <c r="AK1702" s="1" t="s">
        <v>49</v>
      </c>
      <c r="AL1702" s="1">
        <v>71</v>
      </c>
    </row>
    <row r="1703" spans="1:38" x14ac:dyDescent="0.2">
      <c r="A1703" s="2" t="str">
        <f>HYPERLINK("https://www.compass.com/listing/115-nassau-street-unit-28b-manhattan-ny-10038/196066297191136881/","115 Nassau St, Unit 28B")</f>
        <v>115 Nassau St, Unit 28B</v>
      </c>
      <c r="B1703" s="2" t="str">
        <f t="shared" ref="B1703:B1705" si="254">HYPERLINK("https://www.compass.com/building/115-nassau-street-manhattan-ny/282058508331940421/","115 Nassau Street")</f>
        <v>115 Nassau Street</v>
      </c>
      <c r="C1703" s="1" t="s">
        <v>1453</v>
      </c>
      <c r="D1703" s="1" t="s">
        <v>41</v>
      </c>
      <c r="E1703" s="3">
        <v>3589761</v>
      </c>
      <c r="F1703" s="1">
        <v>1984.3896959646199</v>
      </c>
      <c r="M1703" s="4">
        <v>1809</v>
      </c>
      <c r="Q1703" s="1" t="s">
        <v>42</v>
      </c>
      <c r="S1703" s="1" t="s">
        <v>42</v>
      </c>
      <c r="T1703" s="1" t="s">
        <v>153</v>
      </c>
      <c r="AA1703" s="1">
        <v>3589760.96</v>
      </c>
      <c r="AB1703" s="1" t="s">
        <v>1466</v>
      </c>
      <c r="AC1703" s="5">
        <v>43515</v>
      </c>
      <c r="AF1703" s="1">
        <v>10038</v>
      </c>
      <c r="AJ1703" s="1">
        <v>2013</v>
      </c>
    </row>
    <row r="1704" spans="1:38" x14ac:dyDescent="0.2">
      <c r="A1704" s="2" t="str">
        <f>HYPERLINK("https://www.compass.com/listing/115-nassau-street-unit-39b-manhattan-ny-10038/197515983324264017/","115 Nassau St, Unit 39B")</f>
        <v>115 Nassau St, Unit 39B</v>
      </c>
      <c r="B1704" s="2" t="str">
        <f t="shared" si="254"/>
        <v>115 Nassau Street</v>
      </c>
      <c r="C1704" s="1" t="s">
        <v>1453</v>
      </c>
      <c r="D1704" s="1" t="s">
        <v>41</v>
      </c>
      <c r="E1704" s="3">
        <v>3935588</v>
      </c>
      <c r="F1704" s="1">
        <v>2182.7995008319399</v>
      </c>
      <c r="M1704" s="4">
        <v>1803</v>
      </c>
      <c r="Q1704" s="1" t="s">
        <v>42</v>
      </c>
      <c r="S1704" s="1" t="s">
        <v>42</v>
      </c>
      <c r="T1704" s="1" t="s">
        <v>153</v>
      </c>
      <c r="AA1704" s="1">
        <v>3935587.5</v>
      </c>
      <c r="AB1704" s="1" t="s">
        <v>1467</v>
      </c>
      <c r="AC1704" s="5">
        <v>43511</v>
      </c>
      <c r="AF1704" s="1">
        <v>10038</v>
      </c>
      <c r="AJ1704" s="1">
        <v>2013</v>
      </c>
    </row>
    <row r="1705" spans="1:38" x14ac:dyDescent="0.2">
      <c r="A1705" s="2" t="str">
        <f>HYPERLINK("https://www.compass.com/listing/115-nassau-street-unit-46a-manhattan-ny-10038/198219408219402497/","115 Nassau St, Unit 46A")</f>
        <v>115 Nassau St, Unit 46A</v>
      </c>
      <c r="B1705" s="2" t="str">
        <f t="shared" si="254"/>
        <v>115 Nassau Street</v>
      </c>
      <c r="C1705" s="1" t="s">
        <v>1453</v>
      </c>
      <c r="D1705" s="1" t="s">
        <v>41</v>
      </c>
      <c r="E1705" s="3">
        <v>3488892</v>
      </c>
      <c r="F1705" s="1">
        <v>2148.3325123152699</v>
      </c>
      <c r="M1705" s="4">
        <v>1624</v>
      </c>
      <c r="Q1705" s="1" t="s">
        <v>42</v>
      </c>
      <c r="S1705" s="1" t="s">
        <v>42</v>
      </c>
      <c r="T1705" s="1" t="s">
        <v>153</v>
      </c>
      <c r="AA1705" s="1">
        <v>3488892</v>
      </c>
      <c r="AB1705" s="1" t="s">
        <v>1468</v>
      </c>
      <c r="AC1705" s="5">
        <v>43517</v>
      </c>
      <c r="AF1705" s="1">
        <v>10038</v>
      </c>
      <c r="AJ1705" s="1">
        <v>2013</v>
      </c>
    </row>
    <row r="1706" spans="1:38" x14ac:dyDescent="0.2">
      <c r="A1706" s="2" t="str">
        <f>HYPERLINK("https://www.compass.com/listing/544-east-13th-street-unit-5ab-manhattan-ny-10009/209116931859462177/","544 E 13th St, Unit 5AB")</f>
        <v>544 E 13th St, Unit 5AB</v>
      </c>
      <c r="B1706" s="2" t="str">
        <f>HYPERLINK("https://www.compass.com/building/544-e-13th-st-manhattan-ny-10009/281901024665418437/","544 E 13th St")</f>
        <v>544 E 13th St</v>
      </c>
      <c r="C1706" s="1" t="s">
        <v>52</v>
      </c>
      <c r="D1706" s="1" t="s">
        <v>41</v>
      </c>
      <c r="E1706" s="3">
        <v>129238</v>
      </c>
      <c r="Q1706" s="1" t="s">
        <v>117</v>
      </c>
      <c r="S1706" s="1" t="s">
        <v>117</v>
      </c>
      <c r="T1706" s="1" t="s">
        <v>153</v>
      </c>
      <c r="AA1706" s="1">
        <v>129238</v>
      </c>
      <c r="AB1706" s="1" t="s">
        <v>1469</v>
      </c>
      <c r="AC1706" s="5">
        <v>43255</v>
      </c>
      <c r="AF1706" s="1">
        <v>10009</v>
      </c>
      <c r="AJ1706" s="1">
        <v>1900</v>
      </c>
      <c r="AL1706" s="1">
        <v>11</v>
      </c>
    </row>
    <row r="1707" spans="1:38" x14ac:dyDescent="0.2">
      <c r="A1707" s="2" t="str">
        <f>HYPERLINK("https://www.compass.com/listing/441-convent-avenue-unit-6o-manhattan-ny-10031/211345228035032545/","441 Convent Ave, Unit 6O")</f>
        <v>441 Convent Ave, Unit 6O</v>
      </c>
      <c r="B1707" s="2" t="str">
        <f>HYPERLINK("https://www.compass.com/building/441-convent-ave-manhattan-ny-10031/281997455145425477/","441 Convent Ave")</f>
        <v>441 Convent Ave</v>
      </c>
      <c r="C1707" s="1" t="s">
        <v>82</v>
      </c>
      <c r="D1707" s="1" t="s">
        <v>41</v>
      </c>
      <c r="E1707" s="3">
        <v>703000</v>
      </c>
      <c r="F1707" s="1">
        <v>859.41320293398496</v>
      </c>
      <c r="M1707" s="1">
        <v>818</v>
      </c>
      <c r="Q1707" s="1" t="s">
        <v>42</v>
      </c>
      <c r="S1707" s="1" t="s">
        <v>42</v>
      </c>
      <c r="T1707" s="1" t="s">
        <v>153</v>
      </c>
      <c r="AA1707" s="1">
        <v>703000</v>
      </c>
      <c r="AB1707" s="1" t="s">
        <v>1470</v>
      </c>
      <c r="AC1707" s="5">
        <v>43530</v>
      </c>
      <c r="AF1707" s="1">
        <v>10031</v>
      </c>
      <c r="AJ1707" s="1">
        <v>1951</v>
      </c>
      <c r="AL1707" s="1">
        <v>90</v>
      </c>
    </row>
    <row r="1708" spans="1:38" x14ac:dyDescent="0.2">
      <c r="A1708" s="2" t="str">
        <f>HYPERLINK("https://www.compass.com/listing/450-west-42nd-street-unit-56f-manhattan-ny-10036/212018586456199249/","450 W 42nd St, Unit 56F")</f>
        <v>450 W 42nd St, Unit 56F</v>
      </c>
      <c r="B1708" s="2" t="str">
        <f>HYPERLINK("https://www.compass.com/building/mima-manhattan-ny/282025546404079525/","MiMA")</f>
        <v>MiMA</v>
      </c>
      <c r="C1708" s="1" t="s">
        <v>67</v>
      </c>
      <c r="D1708" s="1" t="s">
        <v>41</v>
      </c>
      <c r="E1708" s="3">
        <v>2518000</v>
      </c>
      <c r="F1708" s="1">
        <v>2468.6274509803902</v>
      </c>
      <c r="M1708" s="4">
        <v>1020</v>
      </c>
      <c r="Q1708" s="1" t="s">
        <v>42</v>
      </c>
      <c r="S1708" s="1" t="s">
        <v>42</v>
      </c>
      <c r="T1708" s="1" t="s">
        <v>153</v>
      </c>
      <c r="AA1708" s="1">
        <v>2518000</v>
      </c>
      <c r="AB1708" s="1" t="s">
        <v>1471</v>
      </c>
      <c r="AC1708" s="5">
        <v>43535</v>
      </c>
      <c r="AF1708" s="1">
        <v>10036</v>
      </c>
      <c r="AI1708" s="1" t="s">
        <v>1450</v>
      </c>
      <c r="AJ1708" s="1">
        <v>2012</v>
      </c>
      <c r="AK1708" s="1" t="s">
        <v>49</v>
      </c>
      <c r="AL1708" s="1">
        <v>943</v>
      </c>
    </row>
    <row r="1709" spans="1:38" x14ac:dyDescent="0.2">
      <c r="A1709" s="2" t="str">
        <f>HYPERLINK("https://www.compass.com/listing/372-broadway-unit-r4-manhattan-ny-10013/221430988251634385/","372 Broadway, Unit R4")</f>
        <v>372 Broadway, Unit R4</v>
      </c>
      <c r="B1709" s="2" t="str">
        <f>HYPERLINK("https://www.compass.com/building/372-broadway-manhattan-ny-10013/281919283645154805/","372 Broadway")</f>
        <v>372 Broadway</v>
      </c>
      <c r="C1709" s="1" t="s">
        <v>77</v>
      </c>
      <c r="D1709" s="1" t="s">
        <v>41</v>
      </c>
      <c r="E1709" s="3">
        <v>5224735</v>
      </c>
      <c r="F1709" s="1">
        <v>1794.82487804878</v>
      </c>
      <c r="M1709" s="4">
        <v>2911</v>
      </c>
      <c r="Q1709" s="1" t="s">
        <v>42</v>
      </c>
      <c r="S1709" s="1" t="s">
        <v>42</v>
      </c>
      <c r="T1709" s="1" t="s">
        <v>153</v>
      </c>
      <c r="AA1709" s="1">
        <v>5224735.22</v>
      </c>
      <c r="AB1709" s="1" t="s">
        <v>1472</v>
      </c>
      <c r="AC1709" s="5">
        <v>43539</v>
      </c>
      <c r="AF1709" s="1">
        <v>10013</v>
      </c>
      <c r="AJ1709" s="1">
        <v>1915</v>
      </c>
      <c r="AL1709" s="1">
        <v>6</v>
      </c>
    </row>
    <row r="1710" spans="1:38" x14ac:dyDescent="0.2">
      <c r="A1710" s="2" t="str">
        <f>HYPERLINK("https://www.compass.com/listing/293-lafayette-street-unit-8b-manhattan-ny-10012/223610124189664833/","293 Lafayette St, Unit 8B")</f>
        <v>293 Lafayette St, Unit 8B</v>
      </c>
      <c r="B1710" s="2" t="str">
        <f>HYPERLINK("https://www.compass.com/building/puck-penthouses-manhattan-ny/292811307244096869/","Puck Penthouses")</f>
        <v>Puck Penthouses</v>
      </c>
      <c r="C1710" s="1" t="s">
        <v>97</v>
      </c>
      <c r="D1710" s="1" t="s">
        <v>41</v>
      </c>
      <c r="E1710" s="3">
        <v>18000000</v>
      </c>
      <c r="F1710" s="1">
        <v>3338.8981636060098</v>
      </c>
      <c r="M1710" s="4">
        <v>5391</v>
      </c>
      <c r="Q1710" s="1" t="s">
        <v>42</v>
      </c>
      <c r="S1710" s="1" t="s">
        <v>42</v>
      </c>
      <c r="T1710" s="1" t="s">
        <v>153</v>
      </c>
      <c r="AA1710" s="1">
        <v>18000000</v>
      </c>
      <c r="AB1710" s="1" t="s">
        <v>1473</v>
      </c>
      <c r="AC1710" s="5">
        <v>43557</v>
      </c>
      <c r="AF1710" s="1">
        <v>10012</v>
      </c>
      <c r="AI1710" s="1" t="s">
        <v>66</v>
      </c>
      <c r="AJ1710" s="1">
        <v>1885</v>
      </c>
      <c r="AK1710" s="1" t="s">
        <v>49</v>
      </c>
      <c r="AL1710" s="1">
        <v>6</v>
      </c>
    </row>
    <row r="1711" spans="1:38" x14ac:dyDescent="0.2">
      <c r="A1711" s="2" t="str">
        <f>HYPERLINK("https://www.compass.com/listing/115-nassau-street-unit-17a-manhattan-ny-10038/276880230830895697/","115 Nassau St, Unit 17A")</f>
        <v>115 Nassau St, Unit 17A</v>
      </c>
      <c r="B1711" s="2" t="str">
        <f t="shared" ref="B1711:B1712" si="255">HYPERLINK("https://www.compass.com/building/115-nassau-street-manhattan-ny/282058508331940421/","115 Nassau Street")</f>
        <v>115 Nassau Street</v>
      </c>
      <c r="C1711" s="1" t="s">
        <v>1453</v>
      </c>
      <c r="D1711" s="1" t="s">
        <v>41</v>
      </c>
      <c r="E1711" s="3">
        <v>2200000</v>
      </c>
      <c r="F1711" s="1">
        <v>1353.8461538461499</v>
      </c>
      <c r="M1711" s="4">
        <v>1625</v>
      </c>
      <c r="Q1711" s="1" t="s">
        <v>42</v>
      </c>
      <c r="S1711" s="1" t="s">
        <v>42</v>
      </c>
      <c r="T1711" s="1" t="s">
        <v>153</v>
      </c>
      <c r="AA1711" s="1">
        <v>2200000</v>
      </c>
      <c r="AB1711" s="1" t="s">
        <v>1474</v>
      </c>
      <c r="AC1711" s="5">
        <v>43605</v>
      </c>
      <c r="AF1711" s="1">
        <v>10038</v>
      </c>
      <c r="AJ1711" s="1">
        <v>2013</v>
      </c>
    </row>
    <row r="1712" spans="1:38" x14ac:dyDescent="0.2">
      <c r="A1712" s="2" t="str">
        <f>HYPERLINK("https://www.compass.com/listing/115-nassau-street-unit-48b-manhattan-ny-10038/276880279434434721/","115 Nassau St, Unit 48B")</f>
        <v>115 Nassau St, Unit 48B</v>
      </c>
      <c r="B1712" s="2" t="str">
        <f t="shared" si="255"/>
        <v>115 Nassau Street</v>
      </c>
      <c r="C1712" s="1" t="s">
        <v>1453</v>
      </c>
      <c r="D1712" s="1" t="s">
        <v>41</v>
      </c>
      <c r="E1712" s="3">
        <v>3925000</v>
      </c>
      <c r="F1712" s="1">
        <v>2496.81933842239</v>
      </c>
      <c r="M1712" s="4">
        <v>1572</v>
      </c>
      <c r="Q1712" s="1" t="s">
        <v>42</v>
      </c>
      <c r="S1712" s="1" t="s">
        <v>42</v>
      </c>
      <c r="T1712" s="1" t="s">
        <v>153</v>
      </c>
      <c r="AA1712" s="1">
        <v>3925000</v>
      </c>
      <c r="AB1712" s="1" t="s">
        <v>1475</v>
      </c>
      <c r="AC1712" s="5">
        <v>43196</v>
      </c>
      <c r="AF1712" s="1">
        <v>10038</v>
      </c>
      <c r="AJ1712" s="1">
        <v>2013</v>
      </c>
    </row>
    <row r="1713" spans="1:38" x14ac:dyDescent="0.2">
      <c r="A1713" s="2" t="str">
        <f>HYPERLINK("https://www.compass.com/listing/101-leonard-street-unit-2c-manhattan-ny-10013/276883772056614273/","101 Leonard St, Unit 2C")</f>
        <v>101 Leonard St, Unit 2C</v>
      </c>
      <c r="B1713" s="2" t="str">
        <f t="shared" ref="B1713:B1721" si="256">HYPERLINK("https://www.compass.com/building/the-leonard-manhattan-ny/281919139939910965/","The Leonard")</f>
        <v>The Leonard</v>
      </c>
      <c r="C1713" s="1" t="s">
        <v>77</v>
      </c>
      <c r="D1713" s="1" t="s">
        <v>41</v>
      </c>
      <c r="E1713" s="3">
        <v>1400094</v>
      </c>
      <c r="F1713" s="1">
        <v>1472.2331756046201</v>
      </c>
      <c r="M1713" s="1">
        <v>951</v>
      </c>
      <c r="Q1713" s="1" t="s">
        <v>42</v>
      </c>
      <c r="S1713" s="1" t="s">
        <v>42</v>
      </c>
      <c r="T1713" s="1" t="s">
        <v>153</v>
      </c>
      <c r="AA1713" s="1">
        <v>1400093.75</v>
      </c>
      <c r="AB1713" s="1" t="s">
        <v>1476</v>
      </c>
      <c r="AC1713" s="5">
        <v>42048</v>
      </c>
      <c r="AF1713" s="1">
        <v>10013</v>
      </c>
      <c r="AI1713" s="1" t="s">
        <v>55</v>
      </c>
      <c r="AJ1713" s="1">
        <v>2014</v>
      </c>
      <c r="AK1713" s="1" t="s">
        <v>49</v>
      </c>
      <c r="AL1713" s="1">
        <v>66</v>
      </c>
    </row>
    <row r="1714" spans="1:38" x14ac:dyDescent="0.2">
      <c r="A1714" s="2" t="str">
        <f>HYPERLINK("https://www.compass.com/listing/101-leonard-street-unit-4c-manhattan-ny-10013/276883784002007329/","101 Leonard St, Unit 4C")</f>
        <v>101 Leonard St, Unit 4C</v>
      </c>
      <c r="B1714" s="2" t="str">
        <f t="shared" si="256"/>
        <v>The Leonard</v>
      </c>
      <c r="C1714" s="1" t="s">
        <v>77</v>
      </c>
      <c r="D1714" s="1" t="s">
        <v>41</v>
      </c>
      <c r="E1714" s="3">
        <v>1313543</v>
      </c>
      <c r="F1714" s="1">
        <v>1381.2223974763399</v>
      </c>
      <c r="M1714" s="1">
        <v>951</v>
      </c>
      <c r="Q1714" s="1" t="s">
        <v>42</v>
      </c>
      <c r="S1714" s="1" t="s">
        <v>42</v>
      </c>
      <c r="T1714" s="1" t="s">
        <v>153</v>
      </c>
      <c r="AA1714" s="1">
        <v>1313542.5</v>
      </c>
      <c r="AB1714" s="1" t="s">
        <v>1477</v>
      </c>
      <c r="AC1714" s="5">
        <v>41989</v>
      </c>
      <c r="AF1714" s="1">
        <v>10013</v>
      </c>
      <c r="AI1714" s="1" t="s">
        <v>55</v>
      </c>
      <c r="AJ1714" s="1">
        <v>2014</v>
      </c>
      <c r="AK1714" s="1" t="s">
        <v>49</v>
      </c>
      <c r="AL1714" s="1">
        <v>66</v>
      </c>
    </row>
    <row r="1715" spans="1:38" x14ac:dyDescent="0.2">
      <c r="A1715" s="2" t="str">
        <f>HYPERLINK("https://www.compass.com/listing/101-leonard-street-unit-5c-manhattan-ny-10013/276883788582114001/","101 Leonard St, Unit 5C")</f>
        <v>101 Leonard St, Unit 5C</v>
      </c>
      <c r="B1715" s="2" t="str">
        <f t="shared" si="256"/>
        <v>The Leonard</v>
      </c>
      <c r="C1715" s="1" t="s">
        <v>77</v>
      </c>
      <c r="D1715" s="1" t="s">
        <v>41</v>
      </c>
      <c r="E1715" s="3">
        <v>1214263</v>
      </c>
      <c r="F1715" s="1">
        <v>1276.8276866456299</v>
      </c>
      <c r="M1715" s="1">
        <v>951</v>
      </c>
      <c r="Q1715" s="1" t="s">
        <v>42</v>
      </c>
      <c r="S1715" s="1" t="s">
        <v>42</v>
      </c>
      <c r="T1715" s="1" t="s">
        <v>153</v>
      </c>
      <c r="AA1715" s="1">
        <v>1214263.1299999999</v>
      </c>
      <c r="AB1715" s="1" t="s">
        <v>1478</v>
      </c>
      <c r="AC1715" s="5">
        <v>41978</v>
      </c>
      <c r="AF1715" s="1">
        <v>10013</v>
      </c>
      <c r="AI1715" s="1" t="s">
        <v>55</v>
      </c>
      <c r="AJ1715" s="1">
        <v>2014</v>
      </c>
      <c r="AK1715" s="1" t="s">
        <v>49</v>
      </c>
      <c r="AL1715" s="1">
        <v>66</v>
      </c>
    </row>
    <row r="1716" spans="1:38" x14ac:dyDescent="0.2">
      <c r="A1716" s="2" t="str">
        <f>HYPERLINK("https://www.compass.com/listing/101-leonard-street-unit-7a-manhattan-ny-10013/276883801081153265/","101 Leonard St, Unit 7A")</f>
        <v>101 Leonard St, Unit 7A</v>
      </c>
      <c r="B1716" s="2" t="str">
        <f t="shared" si="256"/>
        <v>The Leonard</v>
      </c>
      <c r="C1716" s="1" t="s">
        <v>77</v>
      </c>
      <c r="D1716" s="1" t="s">
        <v>41</v>
      </c>
      <c r="E1716" s="3">
        <v>1120075</v>
      </c>
      <c r="F1716" s="1">
        <v>1341.4071856287401</v>
      </c>
      <c r="M1716" s="1">
        <v>835</v>
      </c>
      <c r="Q1716" s="1" t="s">
        <v>42</v>
      </c>
      <c r="S1716" s="1" t="s">
        <v>42</v>
      </c>
      <c r="T1716" s="1" t="s">
        <v>153</v>
      </c>
      <c r="AA1716" s="1">
        <v>1120075</v>
      </c>
      <c r="AB1716" s="1" t="s">
        <v>1479</v>
      </c>
      <c r="AC1716" s="5">
        <v>41962</v>
      </c>
      <c r="AF1716" s="1">
        <v>10013</v>
      </c>
      <c r="AI1716" s="1" t="s">
        <v>55</v>
      </c>
      <c r="AJ1716" s="1">
        <v>2014</v>
      </c>
      <c r="AK1716" s="1" t="s">
        <v>49</v>
      </c>
      <c r="AL1716" s="1">
        <v>66</v>
      </c>
    </row>
    <row r="1717" spans="1:38" x14ac:dyDescent="0.2">
      <c r="A1717" s="2" t="str">
        <f>HYPERLINK("https://www.compass.com/listing/101-leonard-street-unit-8c-manhattan-ny-10013/276883808479996881/","101 Leonard St, Unit 8C")</f>
        <v>101 Leonard St, Unit 8C</v>
      </c>
      <c r="B1717" s="2" t="str">
        <f t="shared" si="256"/>
        <v>The Leonard</v>
      </c>
      <c r="C1717" s="1" t="s">
        <v>77</v>
      </c>
      <c r="D1717" s="1" t="s">
        <v>41</v>
      </c>
      <c r="E1717" s="3">
        <v>1374638</v>
      </c>
      <c r="F1717" s="1">
        <v>1445.46529968454</v>
      </c>
      <c r="M1717" s="1">
        <v>951</v>
      </c>
      <c r="Q1717" s="1" t="s">
        <v>42</v>
      </c>
      <c r="S1717" s="1" t="s">
        <v>42</v>
      </c>
      <c r="T1717" s="1" t="s">
        <v>153</v>
      </c>
      <c r="AA1717" s="1">
        <v>1374637.5</v>
      </c>
      <c r="AB1717" s="1" t="s">
        <v>1480</v>
      </c>
      <c r="AC1717" s="5">
        <v>41989</v>
      </c>
      <c r="AF1717" s="1">
        <v>10013</v>
      </c>
      <c r="AI1717" s="1" t="s">
        <v>55</v>
      </c>
      <c r="AJ1717" s="1">
        <v>2014</v>
      </c>
      <c r="AK1717" s="1" t="s">
        <v>49</v>
      </c>
      <c r="AL1717" s="1">
        <v>66</v>
      </c>
    </row>
    <row r="1718" spans="1:38" x14ac:dyDescent="0.2">
      <c r="A1718" s="2" t="str">
        <f>HYPERLINK("https://www.compass.com/listing/101-leonard-street-unit-9c-manhattan-ny-10013/276883813538257809/","101 Leonard St, Unit 9C")</f>
        <v>101 Leonard St, Unit 9C</v>
      </c>
      <c r="B1718" s="2" t="str">
        <f t="shared" si="256"/>
        <v>The Leonard</v>
      </c>
      <c r="C1718" s="1" t="s">
        <v>77</v>
      </c>
      <c r="D1718" s="1" t="s">
        <v>41</v>
      </c>
      <c r="E1718" s="3">
        <v>1527375</v>
      </c>
      <c r="F1718" s="1">
        <v>1606.0725552050401</v>
      </c>
      <c r="M1718" s="1">
        <v>951</v>
      </c>
      <c r="Q1718" s="1" t="s">
        <v>42</v>
      </c>
      <c r="S1718" s="1" t="s">
        <v>42</v>
      </c>
      <c r="T1718" s="1" t="s">
        <v>153</v>
      </c>
      <c r="AA1718" s="1">
        <v>1527375</v>
      </c>
      <c r="AB1718" s="1" t="s">
        <v>1481</v>
      </c>
      <c r="AC1718" s="5">
        <v>41962</v>
      </c>
      <c r="AF1718" s="1">
        <v>10013</v>
      </c>
      <c r="AI1718" s="1" t="s">
        <v>55</v>
      </c>
      <c r="AJ1718" s="1">
        <v>2014</v>
      </c>
      <c r="AK1718" s="1" t="s">
        <v>49</v>
      </c>
      <c r="AL1718" s="1">
        <v>66</v>
      </c>
    </row>
    <row r="1719" spans="1:38" x14ac:dyDescent="0.2">
      <c r="A1719" s="2" t="str">
        <f>HYPERLINK("https://www.compass.com/listing/101-leonard-street-unit-9f-manhattan-ny-10013/276883815652192913/","101 Leonard St, Unit 9F")</f>
        <v>101 Leonard St, Unit 9F</v>
      </c>
      <c r="B1719" s="2" t="str">
        <f t="shared" si="256"/>
        <v>The Leonard</v>
      </c>
      <c r="C1719" s="1" t="s">
        <v>77</v>
      </c>
      <c r="D1719" s="1" t="s">
        <v>41</v>
      </c>
      <c r="E1719" s="3">
        <v>1530000</v>
      </c>
      <c r="F1719" s="1">
        <v>1196.2470680218901</v>
      </c>
      <c r="M1719" s="4">
        <v>1279</v>
      </c>
      <c r="Q1719" s="1" t="s">
        <v>42</v>
      </c>
      <c r="S1719" s="1" t="s">
        <v>42</v>
      </c>
      <c r="T1719" s="1" t="s">
        <v>153</v>
      </c>
      <c r="AA1719" s="1">
        <v>1530000</v>
      </c>
      <c r="AB1719" s="1" t="s">
        <v>1482</v>
      </c>
      <c r="AC1719" s="5">
        <v>42100</v>
      </c>
      <c r="AF1719" s="1">
        <v>10013</v>
      </c>
      <c r="AI1719" s="1" t="s">
        <v>55</v>
      </c>
      <c r="AJ1719" s="1">
        <v>2014</v>
      </c>
      <c r="AK1719" s="1" t="s">
        <v>49</v>
      </c>
      <c r="AL1719" s="1">
        <v>66</v>
      </c>
    </row>
    <row r="1720" spans="1:38" x14ac:dyDescent="0.2">
      <c r="A1720" s="2" t="str">
        <f>HYPERLINK("https://www.compass.com/listing/101-leonard-street-unit-10c-manhattan-ny-10013/276883817002762961/","101 Leonard St, Unit 10C")</f>
        <v>101 Leonard St, Unit 10C</v>
      </c>
      <c r="B1720" s="2" t="str">
        <f t="shared" si="256"/>
        <v>The Leonard</v>
      </c>
      <c r="C1720" s="1" t="s">
        <v>77</v>
      </c>
      <c r="D1720" s="1" t="s">
        <v>41</v>
      </c>
      <c r="E1720" s="3">
        <v>1355698</v>
      </c>
      <c r="F1720" s="1">
        <v>1425.5504206098799</v>
      </c>
      <c r="M1720" s="1">
        <v>951</v>
      </c>
      <c r="Q1720" s="1" t="s">
        <v>42</v>
      </c>
      <c r="S1720" s="1" t="s">
        <v>42</v>
      </c>
      <c r="T1720" s="1" t="s">
        <v>153</v>
      </c>
      <c r="AA1720" s="1">
        <v>1355698.45</v>
      </c>
      <c r="AB1720" s="1" t="s">
        <v>1483</v>
      </c>
      <c r="AC1720" s="5">
        <v>41991</v>
      </c>
      <c r="AF1720" s="1">
        <v>10013</v>
      </c>
      <c r="AI1720" s="1" t="s">
        <v>55</v>
      </c>
      <c r="AJ1720" s="1">
        <v>2014</v>
      </c>
      <c r="AK1720" s="1" t="s">
        <v>49</v>
      </c>
      <c r="AL1720" s="1">
        <v>66</v>
      </c>
    </row>
    <row r="1721" spans="1:38" x14ac:dyDescent="0.2">
      <c r="A1721" s="2" t="str">
        <f>HYPERLINK("https://www.compass.com/listing/101-leonard-street-unit-11a-manhattan-ny-10013/276883819804561729/","101 Leonard St, Unit 11A")</f>
        <v>101 Leonard St, Unit 11A</v>
      </c>
      <c r="B1721" s="2" t="str">
        <f t="shared" si="256"/>
        <v>The Leonard</v>
      </c>
      <c r="C1721" s="1" t="s">
        <v>77</v>
      </c>
      <c r="D1721" s="1" t="s">
        <v>41</v>
      </c>
      <c r="E1721" s="3">
        <v>1181170</v>
      </c>
      <c r="F1721" s="1">
        <v>1414.5748502993999</v>
      </c>
      <c r="M1721" s="1">
        <v>835</v>
      </c>
      <c r="Q1721" s="1" t="s">
        <v>42</v>
      </c>
      <c r="S1721" s="1" t="s">
        <v>42</v>
      </c>
      <c r="T1721" s="1" t="s">
        <v>153</v>
      </c>
      <c r="AA1721" s="1">
        <v>1181170</v>
      </c>
      <c r="AB1721" s="1" t="s">
        <v>1484</v>
      </c>
      <c r="AC1721" s="5">
        <v>41989</v>
      </c>
      <c r="AF1721" s="1">
        <v>10013</v>
      </c>
      <c r="AI1721" s="1" t="s">
        <v>55</v>
      </c>
      <c r="AJ1721" s="1">
        <v>2014</v>
      </c>
      <c r="AK1721" s="1" t="s">
        <v>49</v>
      </c>
      <c r="AL1721" s="1">
        <v>66</v>
      </c>
    </row>
    <row r="1722" spans="1:38" x14ac:dyDescent="0.2">
      <c r="A1722" s="2" t="str">
        <f>HYPERLINK("https://www.compass.com/listing/372-broadway-unit-r5-manhattan-ny-10013/276883980622537697/","372 Broadway, Unit R5")</f>
        <v>372 Broadway, Unit R5</v>
      </c>
      <c r="B1722" s="2" t="str">
        <f>HYPERLINK("https://www.compass.com/building/372-broadway-manhattan-ny-10013/281919283645154805/","372 Broadway")</f>
        <v>372 Broadway</v>
      </c>
      <c r="C1722" s="1" t="s">
        <v>77</v>
      </c>
      <c r="D1722" s="1" t="s">
        <v>41</v>
      </c>
      <c r="E1722" s="3">
        <v>4800000</v>
      </c>
      <c r="F1722" s="1">
        <v>1653.4619359283499</v>
      </c>
      <c r="M1722" s="4">
        <v>2903</v>
      </c>
      <c r="Q1722" s="1" t="s">
        <v>42</v>
      </c>
      <c r="S1722" s="1" t="s">
        <v>42</v>
      </c>
      <c r="T1722" s="1" t="s">
        <v>153</v>
      </c>
      <c r="AA1722" s="1">
        <v>4800000</v>
      </c>
      <c r="AB1722" s="1" t="s">
        <v>1485</v>
      </c>
      <c r="AC1722" s="5">
        <v>43572</v>
      </c>
      <c r="AF1722" s="1">
        <v>10013</v>
      </c>
      <c r="AJ1722" s="1">
        <v>1915</v>
      </c>
      <c r="AL1722" s="1">
        <v>6</v>
      </c>
    </row>
    <row r="1723" spans="1:38" x14ac:dyDescent="0.2">
      <c r="A1723" s="2" t="str">
        <f>HYPERLINK("https://www.compass.com/listing/293-lafayette-street-unit-9a-manhattan-ny-10012/276896401147882801/","293 Lafayette St, Unit 9A")</f>
        <v>293 Lafayette St, Unit 9A</v>
      </c>
      <c r="B1723" s="2" t="str">
        <f>HYPERLINK("https://www.compass.com/building/puck-penthouses-manhattan-ny/292811307244096869/","Puck Penthouses")</f>
        <v>Puck Penthouses</v>
      </c>
      <c r="C1723" s="1" t="s">
        <v>97</v>
      </c>
      <c r="D1723" s="1" t="s">
        <v>41</v>
      </c>
      <c r="E1723" s="3">
        <v>18000000</v>
      </c>
      <c r="F1723" s="1">
        <v>3934.4262295081899</v>
      </c>
      <c r="M1723" s="4">
        <v>4575</v>
      </c>
      <c r="Q1723" s="1" t="s">
        <v>42</v>
      </c>
      <c r="S1723" s="1" t="s">
        <v>42</v>
      </c>
      <c r="T1723" s="1" t="s">
        <v>153</v>
      </c>
      <c r="AA1723" s="1">
        <v>18000000</v>
      </c>
      <c r="AB1723" s="1" t="s">
        <v>1486</v>
      </c>
      <c r="AC1723" s="5">
        <v>43614</v>
      </c>
      <c r="AF1723" s="1">
        <v>10012</v>
      </c>
      <c r="AI1723" s="1" t="s">
        <v>66</v>
      </c>
      <c r="AJ1723" s="1">
        <v>1885</v>
      </c>
      <c r="AK1723" s="1" t="s">
        <v>49</v>
      </c>
      <c r="AL1723" s="1">
        <v>6</v>
      </c>
    </row>
    <row r="1724" spans="1:38" x14ac:dyDescent="0.2">
      <c r="A1724" s="2" t="str">
        <f>HYPERLINK("https://www.compass.com/listing/450-west-42nd-street-unit-58l-manhattan-ny-10036/277079532656136865/","450 W 42nd St, Unit 58L")</f>
        <v>450 W 42nd St, Unit 58L</v>
      </c>
      <c r="B1724" s="2" t="str">
        <f t="shared" ref="B1724:B1727" si="257">HYPERLINK("https://www.compass.com/building/mima-manhattan-ny/282025546404079525/","MiMA")</f>
        <v>MiMA</v>
      </c>
      <c r="C1724" s="1" t="s">
        <v>67</v>
      </c>
      <c r="D1724" s="1" t="s">
        <v>41</v>
      </c>
      <c r="E1724" s="3">
        <v>1775000</v>
      </c>
      <c r="F1724" s="1">
        <v>2553.9568345323701</v>
      </c>
      <c r="M1724" s="1">
        <v>695</v>
      </c>
      <c r="Q1724" s="1" t="s">
        <v>42</v>
      </c>
      <c r="S1724" s="1" t="s">
        <v>42</v>
      </c>
      <c r="T1724" s="1" t="s">
        <v>153</v>
      </c>
      <c r="AA1724" s="1">
        <v>1775000</v>
      </c>
      <c r="AB1724" s="1" t="s">
        <v>1487</v>
      </c>
      <c r="AC1724" s="5">
        <v>43595</v>
      </c>
      <c r="AF1724" s="1">
        <v>10036</v>
      </c>
      <c r="AI1724" s="1" t="s">
        <v>1450</v>
      </c>
      <c r="AJ1724" s="1">
        <v>2012</v>
      </c>
      <c r="AK1724" s="1" t="s">
        <v>49</v>
      </c>
      <c r="AL1724" s="1">
        <v>943</v>
      </c>
    </row>
    <row r="1725" spans="1:38" x14ac:dyDescent="0.2">
      <c r="A1725" s="2" t="str">
        <f>HYPERLINK("https://www.compass.com/listing/450-west-42nd-street-unit-ph4a-manhattan-ny-10036/277079549081102737/","450 W 42nd St, Unit PH4A")</f>
        <v>450 W 42nd St, Unit PH4A</v>
      </c>
      <c r="B1725" s="2" t="str">
        <f t="shared" si="257"/>
        <v>MiMA</v>
      </c>
      <c r="C1725" s="1" t="s">
        <v>67</v>
      </c>
      <c r="D1725" s="1" t="s">
        <v>41</v>
      </c>
      <c r="E1725" s="3">
        <v>1585000</v>
      </c>
      <c r="F1725" s="1">
        <v>2709.4017094016999</v>
      </c>
      <c r="M1725" s="1">
        <v>585</v>
      </c>
      <c r="Q1725" s="1" t="s">
        <v>42</v>
      </c>
      <c r="S1725" s="1" t="s">
        <v>42</v>
      </c>
      <c r="T1725" s="1" t="s">
        <v>153</v>
      </c>
      <c r="AA1725" s="1">
        <v>1585000</v>
      </c>
      <c r="AB1725" s="1" t="s">
        <v>1488</v>
      </c>
      <c r="AC1725" s="5">
        <v>43595</v>
      </c>
      <c r="AF1725" s="1">
        <v>10036</v>
      </c>
      <c r="AI1725" s="1" t="s">
        <v>1450</v>
      </c>
      <c r="AJ1725" s="1">
        <v>2012</v>
      </c>
      <c r="AK1725" s="1" t="s">
        <v>49</v>
      </c>
      <c r="AL1725" s="1">
        <v>943</v>
      </c>
    </row>
    <row r="1726" spans="1:38" x14ac:dyDescent="0.2">
      <c r="A1726" s="2" t="str">
        <f>HYPERLINK("https://www.compass.com/listing/450-west-42nd-street-unit-ph1c-manhattan-ny-10036/277079606148832305/","450 W 42nd St, Unit PH1C")</f>
        <v>450 W 42nd St, Unit PH1C</v>
      </c>
      <c r="B1726" s="2" t="str">
        <f t="shared" si="257"/>
        <v>MiMA</v>
      </c>
      <c r="C1726" s="1" t="s">
        <v>67</v>
      </c>
      <c r="D1726" s="1" t="s">
        <v>41</v>
      </c>
      <c r="E1726" s="3">
        <v>6670000</v>
      </c>
      <c r="F1726" s="1">
        <v>3150.6849315068398</v>
      </c>
      <c r="M1726" s="4">
        <v>2117</v>
      </c>
      <c r="Q1726" s="1" t="s">
        <v>42</v>
      </c>
      <c r="S1726" s="1" t="s">
        <v>42</v>
      </c>
      <c r="T1726" s="1" t="s">
        <v>153</v>
      </c>
      <c r="AA1726" s="1">
        <v>6670000</v>
      </c>
      <c r="AB1726" s="1" t="s">
        <v>1489</v>
      </c>
      <c r="AC1726" s="5">
        <v>43620</v>
      </c>
      <c r="AF1726" s="1">
        <v>10036</v>
      </c>
      <c r="AI1726" s="1" t="s">
        <v>1450</v>
      </c>
      <c r="AJ1726" s="1">
        <v>2012</v>
      </c>
      <c r="AK1726" s="1" t="s">
        <v>49</v>
      </c>
      <c r="AL1726" s="1">
        <v>943</v>
      </c>
    </row>
    <row r="1727" spans="1:38" x14ac:dyDescent="0.2">
      <c r="A1727" s="2" t="str">
        <f>HYPERLINK("https://www.compass.com/listing/450-west-42nd-street-unit-ph1h-manhattan-ny-10036/277079607155444433/","450 W 42nd St, Unit PH1H")</f>
        <v>450 W 42nd St, Unit PH1H</v>
      </c>
      <c r="B1727" s="2" t="str">
        <f t="shared" si="257"/>
        <v>MiMA</v>
      </c>
      <c r="C1727" s="1" t="s">
        <v>67</v>
      </c>
      <c r="D1727" s="1" t="s">
        <v>41</v>
      </c>
      <c r="E1727" s="3">
        <v>1720000</v>
      </c>
      <c r="F1727" s="1">
        <v>3017.5438596491199</v>
      </c>
      <c r="M1727" s="1">
        <v>570</v>
      </c>
      <c r="Q1727" s="1" t="s">
        <v>42</v>
      </c>
      <c r="S1727" s="1" t="s">
        <v>42</v>
      </c>
      <c r="T1727" s="1" t="s">
        <v>153</v>
      </c>
      <c r="AA1727" s="1">
        <v>1720000</v>
      </c>
      <c r="AB1727" s="1" t="s">
        <v>1490</v>
      </c>
      <c r="AC1727" s="5">
        <v>43595</v>
      </c>
      <c r="AF1727" s="1">
        <v>10036</v>
      </c>
      <c r="AI1727" s="1" t="s">
        <v>1450</v>
      </c>
      <c r="AJ1727" s="1">
        <v>2012</v>
      </c>
      <c r="AK1727" s="1" t="s">
        <v>49</v>
      </c>
      <c r="AL1727" s="1">
        <v>943</v>
      </c>
    </row>
    <row r="1728" spans="1:38" x14ac:dyDescent="0.2">
      <c r="A1728" s="2" t="str">
        <f>HYPERLINK("https://www.compass.com/listing/176-west-82nd-street-manhattan-ny-10024/277117996277772049/","176 W 82nd St")</f>
        <v>176 W 82nd St</v>
      </c>
      <c r="B1728" s="2" t="str">
        <f t="shared" ref="B1728:B1733" si="258">HYPERLINK("https://www.compass.com/building/176-w-82nd-st-manhattan-ny-10024/281963431739865269/","176 W 82nd St")</f>
        <v>176 W 82nd St</v>
      </c>
      <c r="C1728" s="1" t="s">
        <v>78</v>
      </c>
      <c r="D1728" s="1" t="s">
        <v>41</v>
      </c>
      <c r="E1728" s="3">
        <v>6766271</v>
      </c>
      <c r="F1728" s="1">
        <v>1576.11722571628</v>
      </c>
      <c r="M1728" s="4">
        <v>4293</v>
      </c>
      <c r="Q1728" s="1" t="s">
        <v>42</v>
      </c>
      <c r="S1728" s="1" t="s">
        <v>42</v>
      </c>
      <c r="T1728" s="1" t="s">
        <v>153</v>
      </c>
      <c r="AA1728" s="1">
        <v>6766271.25</v>
      </c>
      <c r="AB1728" s="1" t="s">
        <v>1491</v>
      </c>
      <c r="AC1728" s="5">
        <v>42208</v>
      </c>
      <c r="AF1728" s="1">
        <v>10024</v>
      </c>
      <c r="AJ1728" s="1">
        <v>1900</v>
      </c>
      <c r="AL1728" s="1">
        <v>5</v>
      </c>
    </row>
    <row r="1729" spans="1:38" x14ac:dyDescent="0.2">
      <c r="A1729" s="2" t="str">
        <f>HYPERLINK("https://www.compass.com/listing/176-west-82nd-street-unit-2n-manhattan-ny-10024/277117997292819569/","176 W 82nd St, Unit 2N")</f>
        <v>176 W 82nd St, Unit 2N</v>
      </c>
      <c r="B1729" s="2" t="str">
        <f t="shared" si="258"/>
        <v>176 W 82nd St</v>
      </c>
      <c r="C1729" s="1" t="s">
        <v>78</v>
      </c>
      <c r="D1729" s="1" t="s">
        <v>41</v>
      </c>
      <c r="E1729" s="3">
        <v>4678859</v>
      </c>
      <c r="F1729" s="1">
        <v>2244.0569544364498</v>
      </c>
      <c r="M1729" s="4">
        <v>2085</v>
      </c>
      <c r="Q1729" s="1" t="s">
        <v>42</v>
      </c>
      <c r="S1729" s="1" t="s">
        <v>42</v>
      </c>
      <c r="T1729" s="1" t="s">
        <v>153</v>
      </c>
      <c r="AA1729" s="1">
        <v>4678858.75</v>
      </c>
      <c r="AB1729" s="1" t="s">
        <v>1492</v>
      </c>
      <c r="AC1729" s="5">
        <v>42206</v>
      </c>
      <c r="AF1729" s="1">
        <v>10024</v>
      </c>
      <c r="AJ1729" s="1">
        <v>1900</v>
      </c>
      <c r="AL1729" s="1">
        <v>5</v>
      </c>
    </row>
    <row r="1730" spans="1:38" x14ac:dyDescent="0.2">
      <c r="A1730" s="2" t="str">
        <f>HYPERLINK("https://www.compass.com/listing/176-west-82nd-street-unit-3e-manhattan-ny-10024/277117997678671169/","176 W 82nd St, Unit 3E")</f>
        <v>176 W 82nd St, Unit 3E</v>
      </c>
      <c r="B1730" s="2" t="str">
        <f t="shared" si="258"/>
        <v>176 W 82nd St</v>
      </c>
      <c r="C1730" s="1" t="s">
        <v>78</v>
      </c>
      <c r="D1730" s="1" t="s">
        <v>41</v>
      </c>
      <c r="E1730" s="3">
        <v>5233805</v>
      </c>
      <c r="F1730" s="1">
        <v>2150.28964667214</v>
      </c>
      <c r="M1730" s="4">
        <v>2434</v>
      </c>
      <c r="Q1730" s="1" t="s">
        <v>42</v>
      </c>
      <c r="S1730" s="1" t="s">
        <v>42</v>
      </c>
      <c r="T1730" s="1" t="s">
        <v>153</v>
      </c>
      <c r="AA1730" s="1">
        <v>5233805</v>
      </c>
      <c r="AB1730" s="1" t="s">
        <v>1493</v>
      </c>
      <c r="AC1730" s="5">
        <v>42152</v>
      </c>
      <c r="AF1730" s="1">
        <v>10024</v>
      </c>
      <c r="AJ1730" s="1">
        <v>1900</v>
      </c>
      <c r="AL1730" s="1">
        <v>5</v>
      </c>
    </row>
    <row r="1731" spans="1:38" x14ac:dyDescent="0.2">
      <c r="A1731" s="2" t="str">
        <f>HYPERLINK("https://www.compass.com/listing/176-west-82nd-street-unit-3w-manhattan-ny-10024/277117997963919937/","176 W 82nd St, Unit 3W")</f>
        <v>176 W 82nd St, Unit 3W</v>
      </c>
      <c r="B1731" s="2" t="str">
        <f t="shared" si="258"/>
        <v>176 W 82nd St</v>
      </c>
      <c r="C1731" s="1" t="s">
        <v>78</v>
      </c>
      <c r="D1731" s="1" t="s">
        <v>41</v>
      </c>
      <c r="E1731" s="3">
        <v>4948695</v>
      </c>
      <c r="F1731" s="1">
        <v>2033.15324568611</v>
      </c>
      <c r="M1731" s="4">
        <v>2434</v>
      </c>
      <c r="Q1731" s="1" t="s">
        <v>42</v>
      </c>
      <c r="S1731" s="1" t="s">
        <v>42</v>
      </c>
      <c r="T1731" s="1" t="s">
        <v>153</v>
      </c>
      <c r="AA1731" s="1">
        <v>4948695</v>
      </c>
      <c r="AB1731" s="1" t="s">
        <v>1494</v>
      </c>
      <c r="AC1731" s="5">
        <v>42156</v>
      </c>
      <c r="AF1731" s="1">
        <v>10024</v>
      </c>
      <c r="AJ1731" s="1">
        <v>1900</v>
      </c>
      <c r="AL1731" s="1">
        <v>5</v>
      </c>
    </row>
    <row r="1732" spans="1:38" x14ac:dyDescent="0.2">
      <c r="A1732" s="2" t="str">
        <f>HYPERLINK("https://www.compass.com/listing/176-west-82nd-street-unit-4w-manhattan-ny-10024/277117999708752321/","176 W 82nd St, Unit 4W")</f>
        <v>176 W 82nd St, Unit 4W</v>
      </c>
      <c r="B1732" s="2" t="str">
        <f t="shared" si="258"/>
        <v>176 W 82nd St</v>
      </c>
      <c r="C1732" s="1" t="s">
        <v>78</v>
      </c>
      <c r="D1732" s="1" t="s">
        <v>41</v>
      </c>
      <c r="E1732" s="3">
        <v>5305083</v>
      </c>
      <c r="F1732" s="1">
        <v>2181.3661595394701</v>
      </c>
      <c r="M1732" s="4">
        <v>2432</v>
      </c>
      <c r="Q1732" s="1" t="s">
        <v>42</v>
      </c>
      <c r="S1732" s="1" t="s">
        <v>42</v>
      </c>
      <c r="T1732" s="1" t="s">
        <v>153</v>
      </c>
      <c r="AA1732" s="1">
        <v>5305082.5</v>
      </c>
      <c r="AB1732" s="1" t="s">
        <v>1495</v>
      </c>
      <c r="AC1732" s="5">
        <v>42160</v>
      </c>
      <c r="AF1732" s="1">
        <v>10024</v>
      </c>
      <c r="AJ1732" s="1">
        <v>1900</v>
      </c>
      <c r="AL1732" s="1">
        <v>5</v>
      </c>
    </row>
    <row r="1733" spans="1:38" x14ac:dyDescent="0.2">
      <c r="A1733" s="2" t="str">
        <f>HYPERLINK("https://www.compass.com/listing/176-west-82nd-street-unit-5w-manhattan-ny-10024/277118004288922513/","176 W 82nd St, Unit 5W")</f>
        <v>176 W 82nd St, Unit 5W</v>
      </c>
      <c r="B1733" s="2" t="str">
        <f t="shared" si="258"/>
        <v>176 W 82nd St</v>
      </c>
      <c r="C1733" s="1" t="s">
        <v>78</v>
      </c>
      <c r="D1733" s="1" t="s">
        <v>41</v>
      </c>
      <c r="E1733" s="3">
        <v>5544371</v>
      </c>
      <c r="F1733" s="1">
        <v>2279.7579152960502</v>
      </c>
      <c r="M1733" s="4">
        <v>2432</v>
      </c>
      <c r="Q1733" s="1" t="s">
        <v>42</v>
      </c>
      <c r="S1733" s="1" t="s">
        <v>42</v>
      </c>
      <c r="T1733" s="1" t="s">
        <v>153</v>
      </c>
      <c r="AA1733" s="1">
        <v>5544371.25</v>
      </c>
      <c r="AB1733" s="1" t="s">
        <v>1496</v>
      </c>
      <c r="AC1733" s="5">
        <v>42160</v>
      </c>
      <c r="AF1733" s="1">
        <v>10024</v>
      </c>
      <c r="AJ1733" s="1">
        <v>1900</v>
      </c>
      <c r="AL1733" s="1">
        <v>5</v>
      </c>
    </row>
    <row r="1734" spans="1:38" x14ac:dyDescent="0.2">
      <c r="A1734" s="2" t="str">
        <f>HYPERLINK("https://www.compass.com/listing/21-east-61st-street-unit-s-1-manhattan-ny-10065/277139360309080353/","21 E 61st St, Unit S 1")</f>
        <v>21 E 61st St, Unit S 1</v>
      </c>
      <c r="B1734" s="2" t="str">
        <f>HYPERLINK("https://www.compass.com/building/the-carlton-house-manhattan-ny/292926373863910149/","The Carlton House")</f>
        <v>The Carlton House</v>
      </c>
      <c r="C1734" s="1" t="s">
        <v>98</v>
      </c>
      <c r="D1734" s="1" t="s">
        <v>41</v>
      </c>
      <c r="E1734" s="3">
        <v>71480</v>
      </c>
      <c r="Q1734" s="1" t="s">
        <v>117</v>
      </c>
      <c r="S1734" s="1" t="s">
        <v>117</v>
      </c>
      <c r="T1734" s="1" t="s">
        <v>153</v>
      </c>
      <c r="AA1734" s="1">
        <v>71480</v>
      </c>
      <c r="AB1734" s="1" t="s">
        <v>1497</v>
      </c>
      <c r="AC1734" s="5">
        <v>43600</v>
      </c>
      <c r="AF1734" s="1">
        <v>10065</v>
      </c>
      <c r="AJ1734" s="1">
        <v>1951</v>
      </c>
      <c r="AK1734" s="1" t="s">
        <v>99</v>
      </c>
      <c r="AL1734" s="1">
        <v>68</v>
      </c>
    </row>
    <row r="1735" spans="1:38" x14ac:dyDescent="0.2">
      <c r="A1735" s="2" t="str">
        <f>HYPERLINK("https://www.compass.com/listing/102-west-118th-street-unit-1-manhattan-ny-10026/277184869363160385/","102 W 118th St, Unit 1")</f>
        <v>102 W 118th St, Unit 1</v>
      </c>
      <c r="B1735" s="2" t="str">
        <f>HYPERLINK("https://www.compass.com/building/102-w-118th-st-manhattan-ny-10026/281973841314537445/","102 W 118th St")</f>
        <v>102 W 118th St</v>
      </c>
      <c r="C1735" s="1" t="s">
        <v>60</v>
      </c>
      <c r="D1735" s="1" t="s">
        <v>41</v>
      </c>
      <c r="E1735" s="3">
        <v>1850000</v>
      </c>
      <c r="F1735" s="1">
        <v>877.60910815939201</v>
      </c>
      <c r="M1735" s="4">
        <v>2108</v>
      </c>
      <c r="Q1735" s="1" t="s">
        <v>42</v>
      </c>
      <c r="S1735" s="1" t="s">
        <v>42</v>
      </c>
      <c r="T1735" s="1" t="s">
        <v>153</v>
      </c>
      <c r="AA1735" s="1">
        <v>1850000</v>
      </c>
      <c r="AB1735" s="1" t="s">
        <v>1498</v>
      </c>
      <c r="AC1735" s="5">
        <v>43584</v>
      </c>
      <c r="AF1735" s="1">
        <v>10026</v>
      </c>
      <c r="AI1735" s="1" t="s">
        <v>66</v>
      </c>
      <c r="AJ1735" s="1">
        <v>1910</v>
      </c>
      <c r="AL1735" s="1">
        <v>4</v>
      </c>
    </row>
    <row r="1736" spans="1:38" x14ac:dyDescent="0.2">
      <c r="A1736" s="2" t="str">
        <f>HYPERLINK("https://www.compass.com/listing/441-convent-avenue-unit-1l-manhattan-ny-10031/277189950200472465/","441 Convent Ave, Unit 1L")</f>
        <v>441 Convent Ave, Unit 1L</v>
      </c>
      <c r="B1736" s="2" t="str">
        <f>HYPERLINK("https://www.compass.com/building/441-convent-ave-manhattan-ny-10031/281997455145425477/","441 Convent Ave")</f>
        <v>441 Convent Ave</v>
      </c>
      <c r="C1736" s="1" t="s">
        <v>82</v>
      </c>
      <c r="D1736" s="1" t="s">
        <v>41</v>
      </c>
      <c r="E1736" s="3">
        <v>362520</v>
      </c>
      <c r="F1736" s="1">
        <v>776.27408993576</v>
      </c>
      <c r="M1736" s="1">
        <v>467</v>
      </c>
      <c r="Q1736" s="1" t="s">
        <v>42</v>
      </c>
      <c r="S1736" s="1" t="s">
        <v>42</v>
      </c>
      <c r="T1736" s="1" t="s">
        <v>153</v>
      </c>
      <c r="AA1736" s="1">
        <v>362520</v>
      </c>
      <c r="AB1736" s="1" t="s">
        <v>1499</v>
      </c>
      <c r="AC1736" s="5">
        <v>43592</v>
      </c>
      <c r="AF1736" s="1">
        <v>10031</v>
      </c>
      <c r="AJ1736" s="1">
        <v>1951</v>
      </c>
      <c r="AL1736" s="1">
        <v>90</v>
      </c>
    </row>
    <row r="1737" spans="1:38" x14ac:dyDescent="0.2">
      <c r="A1737" s="2" t="str">
        <f>HYPERLINK("https://www.compass.com/listing/449-west-162nd-street-unit-4-manhattan-ny-10032/277191291522027409/","449 W 162nd St, Unit 4")</f>
        <v>449 W 162nd St, Unit 4</v>
      </c>
      <c r="B1737" s="2" t="str">
        <f>HYPERLINK("https://www.compass.com/building/449-w-162nd-st-manhattan-ny-10032/282005823302005173/","449 W 162nd St")</f>
        <v>449 W 162nd St</v>
      </c>
      <c r="C1737" s="1" t="s">
        <v>1184</v>
      </c>
      <c r="D1737" s="1" t="s">
        <v>41</v>
      </c>
      <c r="E1737" s="3">
        <v>863476</v>
      </c>
      <c r="F1737" s="1">
        <v>965.85682326621895</v>
      </c>
      <c r="M1737" s="1">
        <v>894</v>
      </c>
      <c r="Q1737" s="1" t="s">
        <v>42</v>
      </c>
      <c r="S1737" s="1" t="s">
        <v>42</v>
      </c>
      <c r="T1737" s="1" t="s">
        <v>153</v>
      </c>
      <c r="AA1737" s="1">
        <v>863476</v>
      </c>
      <c r="AB1737" s="1" t="s">
        <v>1500</v>
      </c>
      <c r="AC1737" s="5">
        <v>43607</v>
      </c>
      <c r="AF1737" s="1">
        <v>10032</v>
      </c>
      <c r="AI1737" s="1" t="s">
        <v>66</v>
      </c>
      <c r="AJ1737" s="1">
        <v>1905</v>
      </c>
      <c r="AL1737" s="1">
        <v>4</v>
      </c>
    </row>
    <row r="1738" spans="1:38" x14ac:dyDescent="0.2">
      <c r="A1738" s="2" t="str">
        <f>HYPERLINK("https://www.compass.com/listing/115-nassau-street-unit-17a-manhattan-ny-10038/29357221833996817/","115 Nassau St, Unit 17A")</f>
        <v>115 Nassau St, Unit 17A</v>
      </c>
      <c r="B1738" s="2" t="str">
        <f t="shared" ref="B1738:B1779" si="259">HYPERLINK("https://www.compass.com/building/115-nassau-street-manhattan-ny/282058508331940421/","115 Nassau Street")</f>
        <v>115 Nassau Street</v>
      </c>
      <c r="C1738" s="1" t="s">
        <v>1453</v>
      </c>
      <c r="D1738" s="1" t="s">
        <v>41</v>
      </c>
      <c r="E1738" s="3">
        <v>2719592</v>
      </c>
      <c r="F1738" s="1">
        <v>1673.59500307692</v>
      </c>
      <c r="M1738" s="4">
        <v>1625</v>
      </c>
      <c r="Q1738" s="1" t="s">
        <v>42</v>
      </c>
      <c r="S1738" s="1" t="s">
        <v>42</v>
      </c>
      <c r="T1738" s="1" t="s">
        <v>153</v>
      </c>
      <c r="AA1738" s="1">
        <v>2719591.88</v>
      </c>
      <c r="AB1738" s="1" t="s">
        <v>1501</v>
      </c>
      <c r="AC1738" s="5">
        <v>42892</v>
      </c>
      <c r="AF1738" s="1">
        <v>10038</v>
      </c>
      <c r="AJ1738" s="1">
        <v>2013</v>
      </c>
    </row>
    <row r="1739" spans="1:38" x14ac:dyDescent="0.2">
      <c r="A1739" s="2" t="str">
        <f>HYPERLINK("https://www.compass.com/listing/115-nassau-street-unit-17b-manhattan-ny-10038/29357222421163425/","115 Nassau St, Unit 17B")</f>
        <v>115 Nassau St, Unit 17B</v>
      </c>
      <c r="B1739" s="2" t="str">
        <f t="shared" si="259"/>
        <v>115 Nassau Street</v>
      </c>
      <c r="C1739" s="1" t="s">
        <v>1453</v>
      </c>
      <c r="D1739" s="1" t="s">
        <v>41</v>
      </c>
      <c r="E1739" s="3">
        <v>1837500</v>
      </c>
      <c r="F1739" s="1">
        <v>2149.1228070175398</v>
      </c>
      <c r="M1739" s="1">
        <v>855</v>
      </c>
      <c r="Q1739" s="1" t="s">
        <v>42</v>
      </c>
      <c r="S1739" s="1" t="s">
        <v>42</v>
      </c>
      <c r="T1739" s="1" t="s">
        <v>153</v>
      </c>
      <c r="AA1739" s="1">
        <v>1837500</v>
      </c>
      <c r="AB1739" s="1" t="s">
        <v>1502</v>
      </c>
      <c r="AC1739" s="5">
        <v>43189</v>
      </c>
      <c r="AF1739" s="1">
        <v>10038</v>
      </c>
      <c r="AJ1739" s="1">
        <v>2013</v>
      </c>
    </row>
    <row r="1740" spans="1:38" x14ac:dyDescent="0.2">
      <c r="A1740" s="2" t="str">
        <f>HYPERLINK("https://www.compass.com/listing/115-nassau-street-unit-17c-manhattan-ny-10038/29357222723189281/","115 Nassau St, Unit 17C")</f>
        <v>115 Nassau St, Unit 17C</v>
      </c>
      <c r="B1740" s="2" t="str">
        <f t="shared" si="259"/>
        <v>115 Nassau Street</v>
      </c>
      <c r="C1740" s="1" t="s">
        <v>1453</v>
      </c>
      <c r="D1740" s="1" t="s">
        <v>41</v>
      </c>
      <c r="E1740" s="3">
        <v>1425550</v>
      </c>
      <c r="F1740" s="1">
        <v>2027.8093883357001</v>
      </c>
      <c r="M1740" s="1">
        <v>703</v>
      </c>
      <c r="Q1740" s="1" t="s">
        <v>42</v>
      </c>
      <c r="S1740" s="1" t="s">
        <v>42</v>
      </c>
      <c r="T1740" s="1" t="s">
        <v>153</v>
      </c>
      <c r="AA1740" s="1">
        <v>1425550</v>
      </c>
      <c r="AB1740" s="1" t="s">
        <v>1503</v>
      </c>
      <c r="AC1740" s="5">
        <v>42972</v>
      </c>
      <c r="AF1740" s="1">
        <v>10038</v>
      </c>
      <c r="AJ1740" s="1">
        <v>2013</v>
      </c>
    </row>
    <row r="1741" spans="1:38" x14ac:dyDescent="0.2">
      <c r="A1741" s="2" t="str">
        <f>HYPERLINK("https://www.compass.com/listing/115-nassau-street-unit-18c-manhattan-ny-10038/29357223662713393/","115 Nassau St, Unit 18C")</f>
        <v>115 Nassau St, Unit 18C</v>
      </c>
      <c r="B1741" s="2" t="str">
        <f t="shared" si="259"/>
        <v>115 Nassau Street</v>
      </c>
      <c r="C1741" s="1" t="s">
        <v>1453</v>
      </c>
      <c r="D1741" s="1" t="s">
        <v>41</v>
      </c>
      <c r="E1741" s="3">
        <v>1276543</v>
      </c>
      <c r="F1741" s="1">
        <v>1815.8508250355601</v>
      </c>
      <c r="M1741" s="1">
        <v>703</v>
      </c>
      <c r="Q1741" s="1" t="s">
        <v>42</v>
      </c>
      <c r="S1741" s="1" t="s">
        <v>42</v>
      </c>
      <c r="T1741" s="1" t="s">
        <v>153</v>
      </c>
      <c r="AA1741" s="1">
        <v>1276543.1299999999</v>
      </c>
      <c r="AB1741" s="1" t="s">
        <v>1504</v>
      </c>
      <c r="AC1741" s="5">
        <v>42975</v>
      </c>
      <c r="AF1741" s="1">
        <v>10038</v>
      </c>
      <c r="AJ1741" s="1">
        <v>2013</v>
      </c>
    </row>
    <row r="1742" spans="1:38" x14ac:dyDescent="0.2">
      <c r="A1742" s="2" t="str">
        <f>HYPERLINK("https://www.compass.com/listing/115-nassau-street-unit-19c-manhattan-ny-10038/29357224577071681/","115 Nassau St, Unit 19C")</f>
        <v>115 Nassau St, Unit 19C</v>
      </c>
      <c r="B1742" s="2" t="str">
        <f t="shared" si="259"/>
        <v>115 Nassau Street</v>
      </c>
      <c r="C1742" s="1" t="s">
        <v>1453</v>
      </c>
      <c r="D1742" s="1" t="s">
        <v>41</v>
      </c>
      <c r="E1742" s="3">
        <v>1425550</v>
      </c>
      <c r="F1742" s="1">
        <v>2027.8093883357001</v>
      </c>
      <c r="M1742" s="1">
        <v>703</v>
      </c>
      <c r="Q1742" s="1" t="s">
        <v>42</v>
      </c>
      <c r="S1742" s="1" t="s">
        <v>42</v>
      </c>
      <c r="T1742" s="1" t="s">
        <v>153</v>
      </c>
      <c r="AA1742" s="1">
        <v>1425550</v>
      </c>
      <c r="AB1742" s="1" t="s">
        <v>1505</v>
      </c>
      <c r="AC1742" s="5">
        <v>42977</v>
      </c>
      <c r="AF1742" s="1">
        <v>10038</v>
      </c>
      <c r="AJ1742" s="1">
        <v>2013</v>
      </c>
    </row>
    <row r="1743" spans="1:38" x14ac:dyDescent="0.2">
      <c r="A1743" s="2" t="str">
        <f>HYPERLINK("https://www.compass.com/listing/115-nassau-street-unit-20c-manhattan-ny-10038/29357225575316049/","115 Nassau St, Unit 20C")</f>
        <v>115 Nassau St, Unit 20C</v>
      </c>
      <c r="B1743" s="2" t="str">
        <f t="shared" si="259"/>
        <v>115 Nassau Street</v>
      </c>
      <c r="C1743" s="1" t="s">
        <v>1453</v>
      </c>
      <c r="D1743" s="1" t="s">
        <v>41</v>
      </c>
      <c r="E1743" s="3">
        <v>1451006</v>
      </c>
      <c r="F1743" s="1">
        <v>2064.02027027027</v>
      </c>
      <c r="M1743" s="1">
        <v>703</v>
      </c>
      <c r="Q1743" s="1" t="s">
        <v>42</v>
      </c>
      <c r="S1743" s="1" t="s">
        <v>42</v>
      </c>
      <c r="T1743" s="1" t="s">
        <v>153</v>
      </c>
      <c r="AA1743" s="1">
        <v>1451006.25</v>
      </c>
      <c r="AB1743" s="1" t="s">
        <v>1506</v>
      </c>
      <c r="AC1743" s="5">
        <v>42975</v>
      </c>
      <c r="AF1743" s="1">
        <v>10038</v>
      </c>
      <c r="AJ1743" s="1">
        <v>2013</v>
      </c>
    </row>
    <row r="1744" spans="1:38" x14ac:dyDescent="0.2">
      <c r="A1744" s="2" t="str">
        <f>HYPERLINK("https://www.compass.com/listing/115-nassau-street-unit-21a-manhattan-ny-10038/29357225902468913/","115 Nassau St, Unit 21A")</f>
        <v>115 Nassau St, Unit 21A</v>
      </c>
      <c r="B1744" s="2" t="str">
        <f t="shared" si="259"/>
        <v>115 Nassau Street</v>
      </c>
      <c r="C1744" s="1" t="s">
        <v>1453</v>
      </c>
      <c r="D1744" s="1" t="s">
        <v>41</v>
      </c>
      <c r="E1744" s="3">
        <v>2785185</v>
      </c>
      <c r="F1744" s="1">
        <v>1713.96</v>
      </c>
      <c r="M1744" s="4">
        <v>1625</v>
      </c>
      <c r="Q1744" s="1" t="s">
        <v>42</v>
      </c>
      <c r="S1744" s="1" t="s">
        <v>42</v>
      </c>
      <c r="T1744" s="1" t="s">
        <v>153</v>
      </c>
      <c r="AA1744" s="1">
        <v>2785185</v>
      </c>
      <c r="AB1744" s="1" t="s">
        <v>1507</v>
      </c>
      <c r="AC1744" s="5">
        <v>42928</v>
      </c>
      <c r="AF1744" s="1">
        <v>10038</v>
      </c>
      <c r="AJ1744" s="1">
        <v>2013</v>
      </c>
    </row>
    <row r="1745" spans="1:36" x14ac:dyDescent="0.2">
      <c r="A1745" s="2" t="str">
        <f>HYPERLINK("https://www.compass.com/listing/115-nassau-street-unit-21c-manhattan-ny-10038/29357226565171809/","115 Nassau St, Unit 21C")</f>
        <v>115 Nassau St, Unit 21C</v>
      </c>
      <c r="B1745" s="2" t="str">
        <f t="shared" si="259"/>
        <v>115 Nassau Street</v>
      </c>
      <c r="C1745" s="1" t="s">
        <v>1453</v>
      </c>
      <c r="D1745" s="1" t="s">
        <v>41</v>
      </c>
      <c r="E1745" s="3">
        <v>1349181</v>
      </c>
      <c r="F1745" s="1">
        <v>1919.1767425319999</v>
      </c>
      <c r="M1745" s="1">
        <v>703</v>
      </c>
      <c r="Q1745" s="1" t="s">
        <v>42</v>
      </c>
      <c r="S1745" s="1" t="s">
        <v>42</v>
      </c>
      <c r="T1745" s="1" t="s">
        <v>153</v>
      </c>
      <c r="AA1745" s="1">
        <v>1349181.25</v>
      </c>
      <c r="AB1745" s="1" t="s">
        <v>1508</v>
      </c>
      <c r="AC1745" s="5">
        <v>42976</v>
      </c>
      <c r="AF1745" s="1">
        <v>10038</v>
      </c>
      <c r="AJ1745" s="1">
        <v>2013</v>
      </c>
    </row>
    <row r="1746" spans="1:36" x14ac:dyDescent="0.2">
      <c r="A1746" s="2" t="str">
        <f>HYPERLINK("https://www.compass.com/listing/115-nassau-street-unit-22a-manhattan-ny-10038/29357226883936065/","115 Nassau St, Unit 22A")</f>
        <v>115 Nassau St, Unit 22A</v>
      </c>
      <c r="B1746" s="2" t="str">
        <f t="shared" si="259"/>
        <v>115 Nassau Street</v>
      </c>
      <c r="C1746" s="1" t="s">
        <v>1453</v>
      </c>
      <c r="D1746" s="1" t="s">
        <v>41</v>
      </c>
      <c r="E1746" s="3">
        <v>2675000</v>
      </c>
      <c r="F1746" s="1">
        <v>1646.15384615384</v>
      </c>
      <c r="M1746" s="4">
        <v>1625</v>
      </c>
      <c r="Q1746" s="1" t="s">
        <v>42</v>
      </c>
      <c r="S1746" s="1" t="s">
        <v>42</v>
      </c>
      <c r="T1746" s="1" t="s">
        <v>153</v>
      </c>
      <c r="AA1746" s="1">
        <v>2675000</v>
      </c>
      <c r="AB1746" s="1" t="s">
        <v>1509</v>
      </c>
      <c r="AC1746" s="5">
        <v>43160</v>
      </c>
      <c r="AF1746" s="1">
        <v>10038</v>
      </c>
      <c r="AJ1746" s="1">
        <v>2013</v>
      </c>
    </row>
    <row r="1747" spans="1:36" x14ac:dyDescent="0.2">
      <c r="A1747" s="2" t="str">
        <f>HYPERLINK("https://www.compass.com/listing/115-nassau-street-unit-22b-manhattan-ny-10038/29357227261390337/","115 Nassau St, Unit 22B")</f>
        <v>115 Nassau St, Unit 22B</v>
      </c>
      <c r="B1747" s="2" t="str">
        <f t="shared" si="259"/>
        <v>115 Nassau Street</v>
      </c>
      <c r="C1747" s="1" t="s">
        <v>1453</v>
      </c>
      <c r="D1747" s="1" t="s">
        <v>41</v>
      </c>
      <c r="E1747" s="3">
        <v>1731025</v>
      </c>
      <c r="F1747" s="1">
        <v>2024.59064327485</v>
      </c>
      <c r="M1747" s="1">
        <v>855</v>
      </c>
      <c r="Q1747" s="1" t="s">
        <v>42</v>
      </c>
      <c r="S1747" s="1" t="s">
        <v>42</v>
      </c>
      <c r="T1747" s="1" t="s">
        <v>153</v>
      </c>
      <c r="AA1747" s="1">
        <v>1731025</v>
      </c>
      <c r="AB1747" s="1" t="s">
        <v>1510</v>
      </c>
      <c r="AC1747" s="5">
        <v>42681</v>
      </c>
      <c r="AF1747" s="1">
        <v>10038</v>
      </c>
      <c r="AJ1747" s="1">
        <v>2013</v>
      </c>
    </row>
    <row r="1748" spans="1:36" x14ac:dyDescent="0.2">
      <c r="A1748" s="2" t="str">
        <f>HYPERLINK("https://www.compass.com/listing/115-nassau-street-unit-22c-manhattan-ny-10038/29357227580193393/","115 Nassau St, Unit 22C")</f>
        <v>115 Nassau St, Unit 22C</v>
      </c>
      <c r="B1748" s="2" t="str">
        <f t="shared" si="259"/>
        <v>115 Nassau Street</v>
      </c>
      <c r="C1748" s="1" t="s">
        <v>1453</v>
      </c>
      <c r="D1748" s="1" t="s">
        <v>41</v>
      </c>
      <c r="E1748" s="3">
        <v>1476463</v>
      </c>
      <c r="F1748" s="1">
        <v>2100.2311522048299</v>
      </c>
      <c r="M1748" s="1">
        <v>703</v>
      </c>
      <c r="Q1748" s="1" t="s">
        <v>42</v>
      </c>
      <c r="S1748" s="1" t="s">
        <v>42</v>
      </c>
      <c r="T1748" s="1" t="s">
        <v>153</v>
      </c>
      <c r="AA1748" s="1">
        <v>1476462.5</v>
      </c>
      <c r="AB1748" s="1" t="s">
        <v>1511</v>
      </c>
      <c r="AC1748" s="5">
        <v>43003</v>
      </c>
      <c r="AF1748" s="1">
        <v>10038</v>
      </c>
      <c r="AJ1748" s="1">
        <v>2013</v>
      </c>
    </row>
    <row r="1749" spans="1:36" x14ac:dyDescent="0.2">
      <c r="A1749" s="2" t="str">
        <f>HYPERLINK("https://www.compass.com/listing/115-nassau-street-unit-23b-manhattan-ny-10038/29357227873791825/","115 Nassau St, Unit 23B")</f>
        <v>115 Nassau St, Unit 23B</v>
      </c>
      <c r="B1749" s="2" t="str">
        <f t="shared" si="259"/>
        <v>115 Nassau Street</v>
      </c>
      <c r="C1749" s="1" t="s">
        <v>1453</v>
      </c>
      <c r="D1749" s="1" t="s">
        <v>41</v>
      </c>
      <c r="E1749" s="3">
        <v>2036500</v>
      </c>
      <c r="F1749" s="1">
        <v>2381.8713450292398</v>
      </c>
      <c r="M1749" s="1">
        <v>855</v>
      </c>
      <c r="Q1749" s="1" t="s">
        <v>42</v>
      </c>
      <c r="S1749" s="1" t="s">
        <v>42</v>
      </c>
      <c r="T1749" s="1" t="s">
        <v>153</v>
      </c>
      <c r="AA1749" s="1">
        <v>2036500</v>
      </c>
      <c r="AB1749" s="1" t="s">
        <v>1512</v>
      </c>
      <c r="AC1749" s="5">
        <v>42759</v>
      </c>
      <c r="AF1749" s="1">
        <v>10038</v>
      </c>
      <c r="AJ1749" s="1">
        <v>2013</v>
      </c>
    </row>
    <row r="1750" spans="1:36" x14ac:dyDescent="0.2">
      <c r="A1750" s="2" t="str">
        <f>HYPERLINK("https://www.compass.com/listing/115-nassau-street-unit-23c-manhattan-ny-10038/29357228200914449/","115 Nassau St, Unit 23C")</f>
        <v>115 Nassau St, Unit 23C</v>
      </c>
      <c r="B1750" s="2" t="str">
        <f t="shared" si="259"/>
        <v>115 Nassau Street</v>
      </c>
      <c r="C1750" s="1" t="s">
        <v>1453</v>
      </c>
      <c r="D1750" s="1" t="s">
        <v>41</v>
      </c>
      <c r="E1750" s="3">
        <v>1476463</v>
      </c>
      <c r="F1750" s="1">
        <v>2100.2311522048299</v>
      </c>
      <c r="M1750" s="1">
        <v>703</v>
      </c>
      <c r="Q1750" s="1" t="s">
        <v>42</v>
      </c>
      <c r="S1750" s="1" t="s">
        <v>42</v>
      </c>
      <c r="T1750" s="1" t="s">
        <v>153</v>
      </c>
      <c r="AA1750" s="1">
        <v>1476462.5</v>
      </c>
      <c r="AB1750" s="1" t="s">
        <v>1513</v>
      </c>
      <c r="AC1750" s="5">
        <v>43000</v>
      </c>
      <c r="AF1750" s="1">
        <v>10038</v>
      </c>
      <c r="AJ1750" s="1">
        <v>2013</v>
      </c>
    </row>
    <row r="1751" spans="1:36" x14ac:dyDescent="0.2">
      <c r="A1751" s="2" t="str">
        <f>HYPERLINK("https://www.compass.com/listing/115-nassau-street-unit-24a-manhattan-ny-10038/29357228502940289/","115 Nassau St, Unit 24A")</f>
        <v>115 Nassau St, Unit 24A</v>
      </c>
      <c r="B1751" s="2" t="str">
        <f t="shared" si="259"/>
        <v>115 Nassau Street</v>
      </c>
      <c r="C1751" s="1" t="s">
        <v>1453</v>
      </c>
      <c r="D1751" s="1" t="s">
        <v>41</v>
      </c>
      <c r="E1751" s="3">
        <v>2900000</v>
      </c>
      <c r="F1751" s="1">
        <v>1784.61538461538</v>
      </c>
      <c r="M1751" s="4">
        <v>1625</v>
      </c>
      <c r="Q1751" s="1" t="s">
        <v>42</v>
      </c>
      <c r="S1751" s="1" t="s">
        <v>42</v>
      </c>
      <c r="T1751" s="1" t="s">
        <v>153</v>
      </c>
      <c r="AA1751" s="1">
        <v>2900000</v>
      </c>
      <c r="AB1751" s="1" t="s">
        <v>1514</v>
      </c>
      <c r="AC1751" s="5">
        <v>42902</v>
      </c>
      <c r="AF1751" s="1">
        <v>10038</v>
      </c>
      <c r="AJ1751" s="1">
        <v>2013</v>
      </c>
    </row>
    <row r="1752" spans="1:36" x14ac:dyDescent="0.2">
      <c r="A1752" s="2" t="str">
        <f>HYPERLINK("https://www.compass.com/listing/115-nassau-street-unit-24b-manhattan-ny-10038/29357228813315937/","115 Nassau St, Unit 24B")</f>
        <v>115 Nassau St, Unit 24B</v>
      </c>
      <c r="B1752" s="2" t="str">
        <f t="shared" si="259"/>
        <v>115 Nassau Street</v>
      </c>
      <c r="C1752" s="1" t="s">
        <v>1453</v>
      </c>
      <c r="D1752" s="1" t="s">
        <v>41</v>
      </c>
      <c r="E1752" s="3">
        <v>2011044</v>
      </c>
      <c r="F1752" s="1">
        <v>2352.0979532163701</v>
      </c>
      <c r="M1752" s="1">
        <v>855</v>
      </c>
      <c r="Q1752" s="1" t="s">
        <v>42</v>
      </c>
      <c r="S1752" s="1" t="s">
        <v>42</v>
      </c>
      <c r="T1752" s="1" t="s">
        <v>153</v>
      </c>
      <c r="AA1752" s="1">
        <v>2011043.75</v>
      </c>
      <c r="AB1752" s="1" t="s">
        <v>1515</v>
      </c>
      <c r="AC1752" s="5">
        <v>42760</v>
      </c>
      <c r="AF1752" s="1">
        <v>10038</v>
      </c>
      <c r="AJ1752" s="1">
        <v>2013</v>
      </c>
    </row>
    <row r="1753" spans="1:36" x14ac:dyDescent="0.2">
      <c r="A1753" s="2" t="str">
        <f>HYPERLINK("https://www.compass.com/listing/115-nassau-street-unit-24c-manhattan-ny-10038/29357229148827169/","115 Nassau St, Unit 24C")</f>
        <v>115 Nassau St, Unit 24C</v>
      </c>
      <c r="B1753" s="2" t="str">
        <f t="shared" si="259"/>
        <v>115 Nassau Street</v>
      </c>
      <c r="C1753" s="1" t="s">
        <v>1453</v>
      </c>
      <c r="D1753" s="1" t="s">
        <v>41</v>
      </c>
      <c r="E1753" s="3">
        <v>1513688</v>
      </c>
      <c r="F1753" s="1">
        <v>2153.1827880512001</v>
      </c>
      <c r="M1753" s="1">
        <v>703</v>
      </c>
      <c r="Q1753" s="1" t="s">
        <v>42</v>
      </c>
      <c r="S1753" s="1" t="s">
        <v>42</v>
      </c>
      <c r="T1753" s="1" t="s">
        <v>153</v>
      </c>
      <c r="AA1753" s="1">
        <v>1513687.5</v>
      </c>
      <c r="AB1753" s="1" t="s">
        <v>1516</v>
      </c>
      <c r="AC1753" s="5">
        <v>42998</v>
      </c>
      <c r="AF1753" s="1">
        <v>10038</v>
      </c>
      <c r="AJ1753" s="1">
        <v>2013</v>
      </c>
    </row>
    <row r="1754" spans="1:36" x14ac:dyDescent="0.2">
      <c r="A1754" s="2" t="str">
        <f>HYPERLINK("https://www.compass.com/listing/115-nassau-street-unit-25a-manhattan-ny-10038/29357229467630225/","115 Nassau St, Unit 25A")</f>
        <v>115 Nassau St, Unit 25A</v>
      </c>
      <c r="B1754" s="2" t="str">
        <f t="shared" si="259"/>
        <v>115 Nassau Street</v>
      </c>
      <c r="C1754" s="1" t="s">
        <v>1453</v>
      </c>
      <c r="D1754" s="1" t="s">
        <v>41</v>
      </c>
      <c r="E1754" s="3">
        <v>3355134</v>
      </c>
      <c r="F1754" s="1">
        <v>2064.69769230769</v>
      </c>
      <c r="M1754" s="4">
        <v>1625</v>
      </c>
      <c r="Q1754" s="1" t="s">
        <v>42</v>
      </c>
      <c r="S1754" s="1" t="s">
        <v>42</v>
      </c>
      <c r="T1754" s="1" t="s">
        <v>153</v>
      </c>
      <c r="AA1754" s="1">
        <v>3355133.75</v>
      </c>
      <c r="AB1754" s="1" t="s">
        <v>1517</v>
      </c>
      <c r="AC1754" s="5">
        <v>42775</v>
      </c>
      <c r="AF1754" s="1">
        <v>10038</v>
      </c>
      <c r="AJ1754" s="1">
        <v>2013</v>
      </c>
    </row>
    <row r="1755" spans="1:36" x14ac:dyDescent="0.2">
      <c r="A1755" s="2" t="str">
        <f>HYPERLINK("https://www.compass.com/listing/115-nassau-street-unit-25b-manhattan-ny-10038/29357229803171697/","115 Nassau St, Unit 25B")</f>
        <v>115 Nassau St, Unit 25B</v>
      </c>
      <c r="B1755" s="2" t="str">
        <f t="shared" si="259"/>
        <v>115 Nassau Street</v>
      </c>
      <c r="C1755" s="1" t="s">
        <v>1453</v>
      </c>
      <c r="D1755" s="1" t="s">
        <v>41</v>
      </c>
      <c r="E1755" s="3">
        <v>1995770</v>
      </c>
      <c r="F1755" s="1">
        <v>2334.2339181286502</v>
      </c>
      <c r="M1755" s="1">
        <v>855</v>
      </c>
      <c r="Q1755" s="1" t="s">
        <v>42</v>
      </c>
      <c r="S1755" s="1" t="s">
        <v>42</v>
      </c>
      <c r="T1755" s="1" t="s">
        <v>153</v>
      </c>
      <c r="AA1755" s="1">
        <v>1995770</v>
      </c>
      <c r="AB1755" s="1" t="s">
        <v>1518</v>
      </c>
      <c r="AC1755" s="5">
        <v>42760</v>
      </c>
      <c r="AF1755" s="1">
        <v>10038</v>
      </c>
      <c r="AJ1755" s="1">
        <v>2013</v>
      </c>
    </row>
    <row r="1756" spans="1:36" x14ac:dyDescent="0.2">
      <c r="A1756" s="2" t="str">
        <f>HYPERLINK("https://www.compass.com/listing/115-nassau-street-unit-25c-manhattan-ny-10038/29357230121905713/","115 Nassau St, Unit 25C")</f>
        <v>115 Nassau St, Unit 25C</v>
      </c>
      <c r="B1756" s="2" t="str">
        <f t="shared" si="259"/>
        <v>115 Nassau Street</v>
      </c>
      <c r="C1756" s="1" t="s">
        <v>1453</v>
      </c>
      <c r="D1756" s="1" t="s">
        <v>41</v>
      </c>
      <c r="E1756" s="3">
        <v>1542831</v>
      </c>
      <c r="F1756" s="1">
        <v>2194.6390469416701</v>
      </c>
      <c r="M1756" s="1">
        <v>703</v>
      </c>
      <c r="Q1756" s="1" t="s">
        <v>42</v>
      </c>
      <c r="S1756" s="1" t="s">
        <v>42</v>
      </c>
      <c r="T1756" s="1" t="s">
        <v>153</v>
      </c>
      <c r="AA1756" s="1">
        <v>1542831.25</v>
      </c>
      <c r="AB1756" s="1" t="s">
        <v>1519</v>
      </c>
      <c r="AC1756" s="5">
        <v>43000</v>
      </c>
      <c r="AF1756" s="1">
        <v>10038</v>
      </c>
      <c r="AJ1756" s="1">
        <v>2013</v>
      </c>
    </row>
    <row r="1757" spans="1:36" x14ac:dyDescent="0.2">
      <c r="A1757" s="2" t="str">
        <f>HYPERLINK("https://www.compass.com/listing/115-nassau-street-unit-26a-manhattan-ny-10038/29357230440708769/","115 Nassau St, Unit 26A")</f>
        <v>115 Nassau St, Unit 26A</v>
      </c>
      <c r="B1757" s="2" t="str">
        <f t="shared" si="259"/>
        <v>115 Nassau Street</v>
      </c>
      <c r="C1757" s="1" t="s">
        <v>1453</v>
      </c>
      <c r="D1757" s="1" t="s">
        <v>41</v>
      </c>
      <c r="E1757" s="3">
        <v>2900000</v>
      </c>
      <c r="F1757" s="1">
        <v>1784.61538461538</v>
      </c>
      <c r="M1757" s="4">
        <v>1625</v>
      </c>
      <c r="Q1757" s="1" t="s">
        <v>42</v>
      </c>
      <c r="S1757" s="1" t="s">
        <v>42</v>
      </c>
      <c r="T1757" s="1" t="s">
        <v>153</v>
      </c>
      <c r="AA1757" s="1">
        <v>2900000</v>
      </c>
      <c r="AB1757" s="1" t="s">
        <v>1520</v>
      </c>
      <c r="AC1757" s="5">
        <v>42888</v>
      </c>
      <c r="AF1757" s="1">
        <v>10038</v>
      </c>
      <c r="AJ1757" s="1">
        <v>2013</v>
      </c>
    </row>
    <row r="1758" spans="1:36" x14ac:dyDescent="0.2">
      <c r="A1758" s="2" t="str">
        <f>HYPERLINK("https://www.compass.com/listing/115-nassau-street-unit-26b-manhattan-ny-10038/29357230767861633/","115 Nassau St, Unit 26B")</f>
        <v>115 Nassau St, Unit 26B</v>
      </c>
      <c r="B1758" s="2" t="str">
        <f t="shared" si="259"/>
        <v>115 Nassau Street</v>
      </c>
      <c r="C1758" s="1" t="s">
        <v>1453</v>
      </c>
      <c r="D1758" s="1" t="s">
        <v>41</v>
      </c>
      <c r="E1758" s="3">
        <v>2119163</v>
      </c>
      <c r="F1758" s="1">
        <v>2478.5526315789398</v>
      </c>
      <c r="M1758" s="1">
        <v>855</v>
      </c>
      <c r="Q1758" s="1" t="s">
        <v>42</v>
      </c>
      <c r="S1758" s="1" t="s">
        <v>42</v>
      </c>
      <c r="T1758" s="1" t="s">
        <v>153</v>
      </c>
      <c r="AA1758" s="1">
        <v>2119162.5</v>
      </c>
      <c r="AB1758" s="1" t="s">
        <v>1521</v>
      </c>
      <c r="AC1758" s="5">
        <v>42863</v>
      </c>
      <c r="AF1758" s="1">
        <v>10038</v>
      </c>
      <c r="AJ1758" s="1">
        <v>2013</v>
      </c>
    </row>
    <row r="1759" spans="1:36" x14ac:dyDescent="0.2">
      <c r="A1759" s="2" t="str">
        <f>HYPERLINK("https://www.compass.com/listing/115-nassau-street-unit-26c-manhattan-ny-10038/29357231069818433/","115 Nassau St, Unit 26C")</f>
        <v>115 Nassau St, Unit 26C</v>
      </c>
      <c r="B1759" s="2" t="str">
        <f t="shared" si="259"/>
        <v>115 Nassau Street</v>
      </c>
      <c r="C1759" s="1" t="s">
        <v>1453</v>
      </c>
      <c r="D1759" s="1" t="s">
        <v>41</v>
      </c>
      <c r="E1759" s="3">
        <v>1525000</v>
      </c>
      <c r="F1759" s="1">
        <v>2169.27453769559</v>
      </c>
      <c r="M1759" s="1">
        <v>703</v>
      </c>
      <c r="Q1759" s="1" t="s">
        <v>42</v>
      </c>
      <c r="S1759" s="1" t="s">
        <v>42</v>
      </c>
      <c r="T1759" s="1" t="s">
        <v>153</v>
      </c>
      <c r="AA1759" s="1">
        <v>1525000</v>
      </c>
      <c r="AB1759" s="1" t="s">
        <v>1522</v>
      </c>
      <c r="AC1759" s="5">
        <v>42998</v>
      </c>
      <c r="AF1759" s="1">
        <v>10038</v>
      </c>
      <c r="AJ1759" s="1">
        <v>2013</v>
      </c>
    </row>
    <row r="1760" spans="1:36" x14ac:dyDescent="0.2">
      <c r="A1760" s="2" t="str">
        <f>HYPERLINK("https://www.compass.com/listing/115-nassau-street-unit-27a-manhattan-ny-10038/29357231363455665/","115 Nassau St, Unit 27A")</f>
        <v>115 Nassau St, Unit 27A</v>
      </c>
      <c r="B1760" s="2" t="str">
        <f t="shared" si="259"/>
        <v>115 Nassau Street</v>
      </c>
      <c r="C1760" s="1" t="s">
        <v>1453</v>
      </c>
      <c r="D1760" s="1" t="s">
        <v>41</v>
      </c>
      <c r="E1760" s="3">
        <v>2978381</v>
      </c>
      <c r="F1760" s="1">
        <v>2135.0403225806399</v>
      </c>
      <c r="M1760" s="4">
        <v>1395</v>
      </c>
      <c r="Q1760" s="1" t="s">
        <v>42</v>
      </c>
      <c r="S1760" s="1" t="s">
        <v>42</v>
      </c>
      <c r="T1760" s="1" t="s">
        <v>153</v>
      </c>
      <c r="AA1760" s="1">
        <v>2978381.25</v>
      </c>
      <c r="AB1760" s="1" t="s">
        <v>1523</v>
      </c>
      <c r="AC1760" s="5">
        <v>42934</v>
      </c>
      <c r="AF1760" s="1">
        <v>10038</v>
      </c>
      <c r="AJ1760" s="1">
        <v>2013</v>
      </c>
    </row>
    <row r="1761" spans="1:36" x14ac:dyDescent="0.2">
      <c r="A1761" s="2" t="str">
        <f>HYPERLINK("https://www.compass.com/listing/115-nassau-street-unit-27b-manhattan-ny-10038/29357231682219921/","115 Nassau St, Unit 27B")</f>
        <v>115 Nassau St, Unit 27B</v>
      </c>
      <c r="B1761" s="2" t="str">
        <f t="shared" si="259"/>
        <v>115 Nassau Street</v>
      </c>
      <c r="C1761" s="1" t="s">
        <v>1453</v>
      </c>
      <c r="D1761" s="1" t="s">
        <v>41</v>
      </c>
      <c r="E1761" s="3">
        <v>3818438</v>
      </c>
      <c r="F1761" s="1">
        <v>2110.8001658374701</v>
      </c>
      <c r="M1761" s="4">
        <v>1809</v>
      </c>
      <c r="Q1761" s="1" t="s">
        <v>42</v>
      </c>
      <c r="S1761" s="1" t="s">
        <v>42</v>
      </c>
      <c r="T1761" s="1" t="s">
        <v>153</v>
      </c>
      <c r="AA1761" s="1">
        <v>3818437.5</v>
      </c>
      <c r="AB1761" s="1" t="s">
        <v>1524</v>
      </c>
      <c r="AC1761" s="5">
        <v>42997</v>
      </c>
      <c r="AF1761" s="1">
        <v>10038</v>
      </c>
      <c r="AJ1761" s="1">
        <v>2013</v>
      </c>
    </row>
    <row r="1762" spans="1:36" x14ac:dyDescent="0.2">
      <c r="A1762" s="2" t="str">
        <f>HYPERLINK("https://www.compass.com/listing/115-nassau-street-unit-29a-manhattan-ny-10038/29357232336534209/","115 Nassau St, Unit 29A")</f>
        <v>115 Nassau St, Unit 29A</v>
      </c>
      <c r="B1762" s="2" t="str">
        <f t="shared" si="259"/>
        <v>115 Nassau Street</v>
      </c>
      <c r="C1762" s="1" t="s">
        <v>1453</v>
      </c>
      <c r="D1762" s="1" t="s">
        <v>41</v>
      </c>
      <c r="E1762" s="3">
        <v>2902013</v>
      </c>
      <c r="F1762" s="1">
        <v>2080.29569892473</v>
      </c>
      <c r="M1762" s="4">
        <v>1395</v>
      </c>
      <c r="Q1762" s="1" t="s">
        <v>42</v>
      </c>
      <c r="S1762" s="1" t="s">
        <v>42</v>
      </c>
      <c r="T1762" s="1" t="s">
        <v>153</v>
      </c>
      <c r="AA1762" s="1">
        <v>2902012.5</v>
      </c>
      <c r="AB1762" s="1" t="s">
        <v>1525</v>
      </c>
      <c r="AC1762" s="5">
        <v>42891</v>
      </c>
      <c r="AF1762" s="1">
        <v>10038</v>
      </c>
      <c r="AJ1762" s="1">
        <v>2013</v>
      </c>
    </row>
    <row r="1763" spans="1:36" x14ac:dyDescent="0.2">
      <c r="A1763" s="2" t="str">
        <f>HYPERLINK("https://www.compass.com/listing/115-nassau-street-unit-29b-manhattan-ny-10038/29357232655298465/","115 Nassau St, Unit 29B")</f>
        <v>115 Nassau St, Unit 29B</v>
      </c>
      <c r="B1763" s="2" t="str">
        <f t="shared" si="259"/>
        <v>115 Nassau Street</v>
      </c>
      <c r="C1763" s="1" t="s">
        <v>1453</v>
      </c>
      <c r="D1763" s="1" t="s">
        <v>41</v>
      </c>
      <c r="E1763" s="3">
        <v>3950000</v>
      </c>
      <c r="F1763" s="1">
        <v>2183.52681039248</v>
      </c>
      <c r="M1763" s="4">
        <v>1809</v>
      </c>
      <c r="Q1763" s="1" t="s">
        <v>42</v>
      </c>
      <c r="S1763" s="1" t="s">
        <v>42</v>
      </c>
      <c r="T1763" s="1" t="s">
        <v>153</v>
      </c>
      <c r="AA1763" s="1">
        <v>3950000</v>
      </c>
      <c r="AB1763" s="1" t="s">
        <v>1526</v>
      </c>
      <c r="AC1763" s="5">
        <v>42998</v>
      </c>
      <c r="AF1763" s="1">
        <v>10038</v>
      </c>
      <c r="AJ1763" s="1">
        <v>2013</v>
      </c>
    </row>
    <row r="1764" spans="1:36" x14ac:dyDescent="0.2">
      <c r="A1764" s="2" t="str">
        <f>HYPERLINK("https://www.compass.com/listing/115-nassau-street-unit-30a-manhattan-ny-10038/29357232957255265/","115 Nassau St, Unit 30A")</f>
        <v>115 Nassau St, Unit 30A</v>
      </c>
      <c r="B1764" s="2" t="str">
        <f t="shared" si="259"/>
        <v>115 Nassau Street</v>
      </c>
      <c r="C1764" s="1" t="s">
        <v>1453</v>
      </c>
      <c r="D1764" s="1" t="s">
        <v>41</v>
      </c>
      <c r="E1764" s="3">
        <v>3131119</v>
      </c>
      <c r="F1764" s="1">
        <v>2244.5295698924701</v>
      </c>
      <c r="M1764" s="4">
        <v>1395</v>
      </c>
      <c r="Q1764" s="1" t="s">
        <v>42</v>
      </c>
      <c r="S1764" s="1" t="s">
        <v>42</v>
      </c>
      <c r="T1764" s="1" t="s">
        <v>153</v>
      </c>
      <c r="AA1764" s="1">
        <v>3131118.75</v>
      </c>
      <c r="AB1764" s="1" t="s">
        <v>1527</v>
      </c>
      <c r="AC1764" s="5">
        <v>42863</v>
      </c>
      <c r="AF1764" s="1">
        <v>10038</v>
      </c>
      <c r="AJ1764" s="1">
        <v>2013</v>
      </c>
    </row>
    <row r="1765" spans="1:36" x14ac:dyDescent="0.2">
      <c r="A1765" s="2" t="str">
        <f>HYPERLINK("https://www.compass.com/listing/115-nassau-street-unit-30b-manhattan-ny-10038/29357233259281105/","115 Nassau St, Unit 30B")</f>
        <v>115 Nassau St, Unit 30B</v>
      </c>
      <c r="B1765" s="2" t="str">
        <f t="shared" si="259"/>
        <v>115 Nassau Street</v>
      </c>
      <c r="C1765" s="1" t="s">
        <v>1453</v>
      </c>
      <c r="D1765" s="1" t="s">
        <v>41</v>
      </c>
      <c r="E1765" s="3">
        <v>4000000</v>
      </c>
      <c r="F1765" s="1">
        <v>2211.1663902708601</v>
      </c>
      <c r="M1765" s="4">
        <v>1809</v>
      </c>
      <c r="Q1765" s="1" t="s">
        <v>42</v>
      </c>
      <c r="S1765" s="1" t="s">
        <v>42</v>
      </c>
      <c r="T1765" s="1" t="s">
        <v>153</v>
      </c>
      <c r="AA1765" s="1">
        <v>4000000</v>
      </c>
      <c r="AB1765" s="1" t="s">
        <v>1528</v>
      </c>
      <c r="AC1765" s="5">
        <v>43003</v>
      </c>
      <c r="AF1765" s="1">
        <v>10038</v>
      </c>
      <c r="AJ1765" s="1">
        <v>2013</v>
      </c>
    </row>
    <row r="1766" spans="1:36" x14ac:dyDescent="0.2">
      <c r="A1766" s="2" t="str">
        <f>HYPERLINK("https://www.compass.com/listing/115-nassau-street-unit-31b-manhattan-ny-10038/29357233578045361/","115 Nassau St, Unit 31B")</f>
        <v>115 Nassau St, Unit 31B</v>
      </c>
      <c r="B1766" s="2" t="str">
        <f t="shared" si="259"/>
        <v>115 Nassau Street</v>
      </c>
      <c r="C1766" s="1" t="s">
        <v>1453</v>
      </c>
      <c r="D1766" s="1" t="s">
        <v>41</v>
      </c>
      <c r="E1766" s="3">
        <v>4000000</v>
      </c>
      <c r="F1766" s="1">
        <v>2211.1663902708601</v>
      </c>
      <c r="M1766" s="4">
        <v>1809</v>
      </c>
      <c r="Q1766" s="1" t="s">
        <v>42</v>
      </c>
      <c r="S1766" s="1" t="s">
        <v>42</v>
      </c>
      <c r="T1766" s="1" t="s">
        <v>153</v>
      </c>
      <c r="AA1766" s="1">
        <v>4000000</v>
      </c>
      <c r="AB1766" s="1" t="s">
        <v>1529</v>
      </c>
      <c r="AC1766" s="5">
        <v>42998</v>
      </c>
      <c r="AF1766" s="1">
        <v>10038</v>
      </c>
      <c r="AJ1766" s="1">
        <v>2013</v>
      </c>
    </row>
    <row r="1767" spans="1:36" x14ac:dyDescent="0.2">
      <c r="A1767" s="2" t="str">
        <f>HYPERLINK("https://www.compass.com/listing/115-nassau-street-unit-39a-manhattan-ny-10038/29357234509180865/","115 Nassau St, Unit 39A")</f>
        <v>115 Nassau St, Unit 39A</v>
      </c>
      <c r="B1767" s="2" t="str">
        <f t="shared" si="259"/>
        <v>115 Nassau Street</v>
      </c>
      <c r="C1767" s="1" t="s">
        <v>1453</v>
      </c>
      <c r="D1767" s="1" t="s">
        <v>41</v>
      </c>
      <c r="E1767" s="3">
        <v>3135000</v>
      </c>
      <c r="F1767" s="1">
        <v>2250.5384063173001</v>
      </c>
      <c r="M1767" s="4">
        <v>1393</v>
      </c>
      <c r="Q1767" s="1" t="s">
        <v>42</v>
      </c>
      <c r="S1767" s="1" t="s">
        <v>42</v>
      </c>
      <c r="T1767" s="1" t="s">
        <v>153</v>
      </c>
      <c r="AA1767" s="1">
        <v>3135000</v>
      </c>
      <c r="AB1767" s="1" t="s">
        <v>1530</v>
      </c>
      <c r="AC1767" s="5">
        <v>43074</v>
      </c>
      <c r="AF1767" s="1">
        <v>10038</v>
      </c>
      <c r="AJ1767" s="1">
        <v>2013</v>
      </c>
    </row>
    <row r="1768" spans="1:36" x14ac:dyDescent="0.2">
      <c r="A1768" s="2" t="str">
        <f>HYPERLINK("https://www.compass.com/listing/115-nassau-street-unit-40a-manhattan-ny-10038/29357234827914881/","115 Nassau St, Unit 40A")</f>
        <v>115 Nassau St, Unit 40A</v>
      </c>
      <c r="B1768" s="2" t="str">
        <f t="shared" si="259"/>
        <v>115 Nassau Street</v>
      </c>
      <c r="C1768" s="1" t="s">
        <v>1453</v>
      </c>
      <c r="D1768" s="1" t="s">
        <v>41</v>
      </c>
      <c r="E1768" s="3">
        <v>3450000</v>
      </c>
      <c r="F1768" s="1">
        <v>2124.3842364532002</v>
      </c>
      <c r="M1768" s="4">
        <v>1624</v>
      </c>
      <c r="Q1768" s="1" t="s">
        <v>42</v>
      </c>
      <c r="S1768" s="1" t="s">
        <v>42</v>
      </c>
      <c r="T1768" s="1" t="s">
        <v>153</v>
      </c>
      <c r="AA1768" s="1">
        <v>3450000</v>
      </c>
      <c r="AB1768" s="1" t="s">
        <v>1531</v>
      </c>
      <c r="AC1768" s="5">
        <v>43070</v>
      </c>
      <c r="AF1768" s="1">
        <v>10038</v>
      </c>
      <c r="AJ1768" s="1">
        <v>2013</v>
      </c>
    </row>
    <row r="1769" spans="1:36" x14ac:dyDescent="0.2">
      <c r="A1769" s="2" t="str">
        <f>HYPERLINK("https://www.compass.com/listing/115-nassau-street-unit-40b-manhattan-ny-10038/29357235205438193/","115 Nassau St, Unit 40B")</f>
        <v>115 Nassau St, Unit 40B</v>
      </c>
      <c r="B1769" s="2" t="str">
        <f t="shared" si="259"/>
        <v>115 Nassau Street</v>
      </c>
      <c r="C1769" s="1" t="s">
        <v>1453</v>
      </c>
      <c r="D1769" s="1" t="s">
        <v>41</v>
      </c>
      <c r="E1769" s="3">
        <v>3711521</v>
      </c>
      <c r="F1769" s="1">
        <v>2361.0186068702201</v>
      </c>
      <c r="M1769" s="4">
        <v>1572</v>
      </c>
      <c r="Q1769" s="1" t="s">
        <v>42</v>
      </c>
      <c r="S1769" s="1" t="s">
        <v>42</v>
      </c>
      <c r="T1769" s="1" t="s">
        <v>153</v>
      </c>
      <c r="AA1769" s="1">
        <v>3711521.25</v>
      </c>
      <c r="AB1769" s="1" t="s">
        <v>1532</v>
      </c>
      <c r="AC1769" s="5">
        <v>43090</v>
      </c>
      <c r="AF1769" s="1">
        <v>10038</v>
      </c>
      <c r="AJ1769" s="1">
        <v>2013</v>
      </c>
    </row>
    <row r="1770" spans="1:36" x14ac:dyDescent="0.2">
      <c r="A1770" s="2" t="str">
        <f>HYPERLINK("https://www.compass.com/listing/115-nassau-street-unit-41a-manhattan-ny-10038/29357235507425233/","115 Nassau St, Unit 41A")</f>
        <v>115 Nassau St, Unit 41A</v>
      </c>
      <c r="B1770" s="2" t="str">
        <f t="shared" si="259"/>
        <v>115 Nassau Street</v>
      </c>
      <c r="C1770" s="1" t="s">
        <v>1453</v>
      </c>
      <c r="D1770" s="1" t="s">
        <v>41</v>
      </c>
      <c r="E1770" s="3">
        <v>3614788</v>
      </c>
      <c r="F1770" s="1">
        <v>2225.8543719211798</v>
      </c>
      <c r="M1770" s="4">
        <v>1624</v>
      </c>
      <c r="Q1770" s="1" t="s">
        <v>42</v>
      </c>
      <c r="S1770" s="1" t="s">
        <v>42</v>
      </c>
      <c r="T1770" s="1" t="s">
        <v>153</v>
      </c>
      <c r="AA1770" s="1">
        <v>3614787.5</v>
      </c>
      <c r="AB1770" s="1" t="s">
        <v>1533</v>
      </c>
      <c r="AC1770" s="5">
        <v>43074</v>
      </c>
      <c r="AF1770" s="1">
        <v>10038</v>
      </c>
      <c r="AJ1770" s="1">
        <v>2013</v>
      </c>
    </row>
    <row r="1771" spans="1:36" x14ac:dyDescent="0.2">
      <c r="A1771" s="2" t="str">
        <f>HYPERLINK("https://www.compass.com/listing/115-nassau-street-unit-41b-manhattan-ny-10038/29357235800993425/","115 Nassau St, Unit 41B")</f>
        <v>115 Nassau St, Unit 41B</v>
      </c>
      <c r="B1771" s="2" t="str">
        <f t="shared" si="259"/>
        <v>115 Nassau Street</v>
      </c>
      <c r="C1771" s="1" t="s">
        <v>1453</v>
      </c>
      <c r="D1771" s="1" t="s">
        <v>41</v>
      </c>
      <c r="E1771" s="3">
        <v>3700000</v>
      </c>
      <c r="F1771" s="1">
        <v>2353.6895674300199</v>
      </c>
      <c r="M1771" s="4">
        <v>1572</v>
      </c>
      <c r="Q1771" s="1" t="s">
        <v>42</v>
      </c>
      <c r="S1771" s="1" t="s">
        <v>42</v>
      </c>
      <c r="T1771" s="1" t="s">
        <v>153</v>
      </c>
      <c r="AA1771" s="1">
        <v>3700000</v>
      </c>
      <c r="AB1771" s="1" t="s">
        <v>1534</v>
      </c>
      <c r="AC1771" s="5">
        <v>43074</v>
      </c>
      <c r="AF1771" s="1">
        <v>10038</v>
      </c>
      <c r="AJ1771" s="1">
        <v>2013</v>
      </c>
    </row>
    <row r="1772" spans="1:36" x14ac:dyDescent="0.2">
      <c r="A1772" s="2" t="str">
        <f>HYPERLINK("https://www.compass.com/listing/115-nassau-street-unit-42a-manhattan-ny-10038/29357236103019265/","115 Nassau St, Unit 42A")</f>
        <v>115 Nassau St, Unit 42A</v>
      </c>
      <c r="B1772" s="2" t="str">
        <f t="shared" si="259"/>
        <v>115 Nassau Street</v>
      </c>
      <c r="C1772" s="1" t="s">
        <v>1453</v>
      </c>
      <c r="D1772" s="1" t="s">
        <v>41</v>
      </c>
      <c r="E1772" s="3">
        <v>3600000</v>
      </c>
      <c r="F1772" s="1">
        <v>2216.7487684728999</v>
      </c>
      <c r="M1772" s="4">
        <v>1624</v>
      </c>
      <c r="Q1772" s="1" t="s">
        <v>42</v>
      </c>
      <c r="S1772" s="1" t="s">
        <v>42</v>
      </c>
      <c r="T1772" s="1" t="s">
        <v>153</v>
      </c>
      <c r="AA1772" s="1">
        <v>3600000</v>
      </c>
      <c r="AB1772" s="1" t="s">
        <v>1535</v>
      </c>
      <c r="AC1772" s="5">
        <v>43075</v>
      </c>
      <c r="AF1772" s="1">
        <v>10038</v>
      </c>
      <c r="AJ1772" s="1">
        <v>2013</v>
      </c>
    </row>
    <row r="1773" spans="1:36" x14ac:dyDescent="0.2">
      <c r="A1773" s="2" t="str">
        <f>HYPERLINK("https://www.compass.com/listing/115-nassau-street-unit-42b-manhattan-ny-10038/29357236405006305/","115 Nassau St, Unit 42B")</f>
        <v>115 Nassau St, Unit 42B</v>
      </c>
      <c r="B1773" s="2" t="str">
        <f t="shared" si="259"/>
        <v>115 Nassau Street</v>
      </c>
      <c r="C1773" s="1" t="s">
        <v>1453</v>
      </c>
      <c r="D1773" s="1" t="s">
        <v>41</v>
      </c>
      <c r="E1773" s="3">
        <v>3632850</v>
      </c>
      <c r="F1773" s="1">
        <v>2310.9732824427401</v>
      </c>
      <c r="M1773" s="4">
        <v>1572</v>
      </c>
      <c r="Q1773" s="1" t="s">
        <v>42</v>
      </c>
      <c r="S1773" s="1" t="s">
        <v>42</v>
      </c>
      <c r="T1773" s="1" t="s">
        <v>153</v>
      </c>
      <c r="AA1773" s="1">
        <v>3632850</v>
      </c>
      <c r="AB1773" s="1" t="s">
        <v>1536</v>
      </c>
      <c r="AC1773" s="5">
        <v>43136</v>
      </c>
      <c r="AF1773" s="1">
        <v>10038</v>
      </c>
      <c r="AJ1773" s="1">
        <v>2013</v>
      </c>
    </row>
    <row r="1774" spans="1:36" x14ac:dyDescent="0.2">
      <c r="A1774" s="2" t="str">
        <f>HYPERLINK("https://www.compass.com/listing/115-nassau-street-unit-43b-manhattan-ny-10038/29357237076097809/","115 Nassau St, Unit 43B")</f>
        <v>115 Nassau St, Unit 43B</v>
      </c>
      <c r="B1774" s="2" t="str">
        <f t="shared" si="259"/>
        <v>115 Nassau Street</v>
      </c>
      <c r="C1774" s="1" t="s">
        <v>1453</v>
      </c>
      <c r="D1774" s="1" t="s">
        <v>41</v>
      </c>
      <c r="E1774" s="3">
        <v>3683306</v>
      </c>
      <c r="F1774" s="1">
        <v>2343.0701335877802</v>
      </c>
      <c r="M1774" s="4">
        <v>1572</v>
      </c>
      <c r="Q1774" s="1" t="s">
        <v>42</v>
      </c>
      <c r="S1774" s="1" t="s">
        <v>42</v>
      </c>
      <c r="T1774" s="1" t="s">
        <v>153</v>
      </c>
      <c r="AA1774" s="1">
        <v>3683306.25</v>
      </c>
      <c r="AB1774" s="1" t="s">
        <v>1537</v>
      </c>
      <c r="AC1774" s="5">
        <v>43076</v>
      </c>
      <c r="AF1774" s="1">
        <v>10038</v>
      </c>
      <c r="AJ1774" s="1">
        <v>2013</v>
      </c>
    </row>
    <row r="1775" spans="1:36" x14ac:dyDescent="0.2">
      <c r="A1775" s="2" t="str">
        <f>HYPERLINK("https://www.compass.com/listing/115-nassau-street-unit-44a-manhattan-ny-10038/29357237411639281/","115 Nassau St, Unit 44A")</f>
        <v>115 Nassau St, Unit 44A</v>
      </c>
      <c r="B1775" s="2" t="str">
        <f t="shared" si="259"/>
        <v>115 Nassau Street</v>
      </c>
      <c r="C1775" s="1" t="s">
        <v>1453</v>
      </c>
      <c r="D1775" s="1" t="s">
        <v>41</v>
      </c>
      <c r="E1775" s="3">
        <v>3733763</v>
      </c>
      <c r="F1775" s="1">
        <v>2299.1148399014701</v>
      </c>
      <c r="M1775" s="4">
        <v>1624</v>
      </c>
      <c r="Q1775" s="1" t="s">
        <v>42</v>
      </c>
      <c r="S1775" s="1" t="s">
        <v>42</v>
      </c>
      <c r="T1775" s="1" t="s">
        <v>153</v>
      </c>
      <c r="AA1775" s="1">
        <v>3733762.5</v>
      </c>
      <c r="AB1775" s="1" t="s">
        <v>1538</v>
      </c>
      <c r="AC1775" s="5">
        <v>43054</v>
      </c>
      <c r="AF1775" s="1">
        <v>10038</v>
      </c>
      <c r="AJ1775" s="1">
        <v>2013</v>
      </c>
    </row>
    <row r="1776" spans="1:36" x14ac:dyDescent="0.2">
      <c r="A1776" s="2" t="str">
        <f>HYPERLINK("https://www.compass.com/listing/115-nassau-street-unit-44b-manhattan-ny-10038/29357237713596081/","115 Nassau St, Unit 44B")</f>
        <v>115 Nassau St, Unit 44B</v>
      </c>
      <c r="B1776" s="2" t="str">
        <f t="shared" si="259"/>
        <v>115 Nassau Street</v>
      </c>
      <c r="C1776" s="1" t="s">
        <v>1453</v>
      </c>
      <c r="D1776" s="1" t="s">
        <v>41</v>
      </c>
      <c r="E1776" s="3">
        <v>3733763</v>
      </c>
      <c r="F1776" s="1">
        <v>2375.1669847328199</v>
      </c>
      <c r="M1776" s="4">
        <v>1572</v>
      </c>
      <c r="Q1776" s="1" t="s">
        <v>42</v>
      </c>
      <c r="S1776" s="1" t="s">
        <v>42</v>
      </c>
      <c r="T1776" s="1" t="s">
        <v>153</v>
      </c>
      <c r="AA1776" s="1">
        <v>3733762.5</v>
      </c>
      <c r="AB1776" s="1" t="s">
        <v>1539</v>
      </c>
      <c r="AC1776" s="5">
        <v>43076</v>
      </c>
      <c r="AF1776" s="1">
        <v>10038</v>
      </c>
      <c r="AJ1776" s="1">
        <v>2013</v>
      </c>
    </row>
    <row r="1777" spans="1:38" x14ac:dyDescent="0.2">
      <c r="A1777" s="2" t="str">
        <f>HYPERLINK("https://www.compass.com/listing/115-nassau-street-unit-45a-manhattan-ny-10038/29357238024010529/","115 Nassau St, Unit 45A")</f>
        <v>115 Nassau St, Unit 45A</v>
      </c>
      <c r="B1777" s="2" t="str">
        <f t="shared" si="259"/>
        <v>115 Nassau Street</v>
      </c>
      <c r="C1777" s="1" t="s">
        <v>1453</v>
      </c>
      <c r="D1777" s="1" t="s">
        <v>41</v>
      </c>
      <c r="E1777" s="3">
        <v>3784219</v>
      </c>
      <c r="F1777" s="1">
        <v>2330.1839593596001</v>
      </c>
      <c r="M1777" s="4">
        <v>1624</v>
      </c>
      <c r="Q1777" s="1" t="s">
        <v>42</v>
      </c>
      <c r="S1777" s="1" t="s">
        <v>42</v>
      </c>
      <c r="T1777" s="1" t="s">
        <v>153</v>
      </c>
      <c r="AA1777" s="1">
        <v>3784218.75</v>
      </c>
      <c r="AB1777" s="1" t="s">
        <v>1540</v>
      </c>
      <c r="AC1777" s="5">
        <v>42829</v>
      </c>
      <c r="AF1777" s="1">
        <v>10038</v>
      </c>
      <c r="AJ1777" s="1">
        <v>2013</v>
      </c>
    </row>
    <row r="1778" spans="1:38" x14ac:dyDescent="0.2">
      <c r="A1778" s="2" t="str">
        <f>HYPERLINK("https://www.compass.com/listing/115-nassau-street-unit-45b-manhattan-ny-10038/29357238485381121/","115 Nassau St, Unit 45B")</f>
        <v>115 Nassau St, Unit 45B</v>
      </c>
      <c r="B1778" s="2" t="str">
        <f t="shared" si="259"/>
        <v>115 Nassau Street</v>
      </c>
      <c r="C1778" s="1" t="s">
        <v>1453</v>
      </c>
      <c r="D1778" s="1" t="s">
        <v>41</v>
      </c>
      <c r="E1778" s="3">
        <v>3784219</v>
      </c>
      <c r="F1778" s="1">
        <v>2407.2638358778599</v>
      </c>
      <c r="M1778" s="4">
        <v>1572</v>
      </c>
      <c r="Q1778" s="1" t="s">
        <v>42</v>
      </c>
      <c r="S1778" s="1" t="s">
        <v>42</v>
      </c>
      <c r="T1778" s="1" t="s">
        <v>153</v>
      </c>
      <c r="AA1778" s="1">
        <v>3784218.75</v>
      </c>
      <c r="AB1778" s="1" t="s">
        <v>1541</v>
      </c>
      <c r="AC1778" s="5">
        <v>43108</v>
      </c>
      <c r="AF1778" s="1">
        <v>10038</v>
      </c>
      <c r="AJ1778" s="1">
        <v>2013</v>
      </c>
    </row>
    <row r="1779" spans="1:38" x14ac:dyDescent="0.2">
      <c r="A1779" s="2" t="str">
        <f>HYPERLINK("https://www.compass.com/listing/115-nassau-street-unit-ph50-manhattan-ny-10038/29357239013830337/","115 Nassau St, Unit PH50")</f>
        <v>115 Nassau St, Unit PH50</v>
      </c>
      <c r="B1779" s="2" t="str">
        <f t="shared" si="259"/>
        <v>115 Nassau Street</v>
      </c>
      <c r="C1779" s="1" t="s">
        <v>1453</v>
      </c>
      <c r="D1779" s="1" t="s">
        <v>41</v>
      </c>
      <c r="E1779" s="3">
        <v>11600000</v>
      </c>
      <c r="F1779" s="1">
        <v>3263.9279684862099</v>
      </c>
      <c r="M1779" s="4">
        <v>3554</v>
      </c>
      <c r="Q1779" s="1" t="s">
        <v>42</v>
      </c>
      <c r="S1779" s="1" t="s">
        <v>42</v>
      </c>
      <c r="T1779" s="1" t="s">
        <v>153</v>
      </c>
      <c r="AA1779" s="1">
        <v>11600000</v>
      </c>
      <c r="AB1779" s="1" t="s">
        <v>1542</v>
      </c>
      <c r="AC1779" s="5">
        <v>43229</v>
      </c>
      <c r="AF1779" s="1">
        <v>10038</v>
      </c>
      <c r="AJ1779" s="1">
        <v>2013</v>
      </c>
    </row>
    <row r="1780" spans="1:38" x14ac:dyDescent="0.2">
      <c r="A1780" s="2" t="str">
        <f>HYPERLINK("https://www.compass.com/listing/71-reade-street-unit-ru2c-manhattan-ny-10007/29358352534466641/","71 Reade St, Unit RU2C")</f>
        <v>71 Reade St, Unit RU2C</v>
      </c>
      <c r="B1780" s="2" t="str">
        <f t="shared" ref="B1780:B1789" si="260">HYPERLINK("https://www.compass.com/building/reade-chambers-manhattan-ny/281897219919982101/","Reade Chambers")</f>
        <v>Reade Chambers</v>
      </c>
      <c r="C1780" s="1" t="s">
        <v>65</v>
      </c>
      <c r="D1780" s="1" t="s">
        <v>41</v>
      </c>
      <c r="E1780" s="3">
        <v>1580288</v>
      </c>
      <c r="F1780" s="1">
        <v>1870.16272189349</v>
      </c>
      <c r="M1780" s="1">
        <v>845</v>
      </c>
      <c r="Q1780" s="1" t="s">
        <v>42</v>
      </c>
      <c r="S1780" s="1" t="s">
        <v>42</v>
      </c>
      <c r="T1780" s="1" t="s">
        <v>153</v>
      </c>
      <c r="AA1780" s="1">
        <v>1580287.5</v>
      </c>
      <c r="AB1780" s="1" t="s">
        <v>1543</v>
      </c>
      <c r="AC1780" s="5">
        <v>42226</v>
      </c>
      <c r="AF1780" s="1">
        <v>10007</v>
      </c>
      <c r="AI1780" s="1" t="s">
        <v>51</v>
      </c>
      <c r="AJ1780" s="1">
        <v>2015</v>
      </c>
      <c r="AK1780" s="1" t="s">
        <v>99</v>
      </c>
      <c r="AL1780" s="1">
        <v>18</v>
      </c>
    </row>
    <row r="1781" spans="1:38" x14ac:dyDescent="0.2">
      <c r="A1781" s="2" t="str">
        <f>HYPERLINK("https://www.compass.com/listing/71-reade-street-unit-ru2d-manhattan-ny-10007/29358352853139681/","71 Reade St, Unit RU2D")</f>
        <v>71 Reade St, Unit RU2D</v>
      </c>
      <c r="B1781" s="2" t="str">
        <f t="shared" si="260"/>
        <v>Reade Chambers</v>
      </c>
      <c r="C1781" s="1" t="s">
        <v>65</v>
      </c>
      <c r="D1781" s="1" t="s">
        <v>41</v>
      </c>
      <c r="E1781" s="3">
        <v>2949834</v>
      </c>
      <c r="F1781" s="1">
        <v>1861.09384858044</v>
      </c>
      <c r="M1781" s="4">
        <v>1585</v>
      </c>
      <c r="Q1781" s="1" t="s">
        <v>42</v>
      </c>
      <c r="S1781" s="1" t="s">
        <v>42</v>
      </c>
      <c r="T1781" s="1" t="s">
        <v>153</v>
      </c>
      <c r="AA1781" s="1">
        <v>2949833.75</v>
      </c>
      <c r="AB1781" s="1" t="s">
        <v>1544</v>
      </c>
      <c r="AC1781" s="5">
        <v>42226</v>
      </c>
      <c r="AF1781" s="1">
        <v>10007</v>
      </c>
      <c r="AI1781" s="1" t="s">
        <v>51</v>
      </c>
      <c r="AJ1781" s="1">
        <v>2015</v>
      </c>
      <c r="AK1781" s="1" t="s">
        <v>99</v>
      </c>
      <c r="AL1781" s="1">
        <v>18</v>
      </c>
    </row>
    <row r="1782" spans="1:38" x14ac:dyDescent="0.2">
      <c r="A1782" s="2" t="str">
        <f>HYPERLINK("https://www.compass.com/listing/71-reade-street-unit-ru3a-manhattan-ny-10007/29358353155125409/","71 Reade St, Unit RU3A")</f>
        <v>71 Reade St, Unit RU3A</v>
      </c>
      <c r="B1782" s="2" t="str">
        <f t="shared" si="260"/>
        <v>Reade Chambers</v>
      </c>
      <c r="C1782" s="1" t="s">
        <v>65</v>
      </c>
      <c r="D1782" s="1" t="s">
        <v>41</v>
      </c>
      <c r="E1782" s="3">
        <v>1682113</v>
      </c>
      <c r="F1782" s="1">
        <v>1697.3890010090799</v>
      </c>
      <c r="M1782" s="1">
        <v>991</v>
      </c>
      <c r="Q1782" s="1" t="s">
        <v>42</v>
      </c>
      <c r="S1782" s="1" t="s">
        <v>42</v>
      </c>
      <c r="T1782" s="1" t="s">
        <v>153</v>
      </c>
      <c r="AA1782" s="1">
        <v>1682112.5</v>
      </c>
      <c r="AB1782" s="1" t="s">
        <v>1545</v>
      </c>
      <c r="AC1782" s="5">
        <v>42226</v>
      </c>
      <c r="AF1782" s="1">
        <v>10007</v>
      </c>
      <c r="AI1782" s="1" t="s">
        <v>51</v>
      </c>
      <c r="AJ1782" s="1">
        <v>2015</v>
      </c>
      <c r="AK1782" s="1" t="s">
        <v>99</v>
      </c>
      <c r="AL1782" s="1">
        <v>18</v>
      </c>
    </row>
    <row r="1783" spans="1:38" x14ac:dyDescent="0.2">
      <c r="A1783" s="2" t="str">
        <f>HYPERLINK("https://www.compass.com/listing/71-reade-street-unit-ru3c-manhattan-ny-10007/29358353482379361/","71 Reade St, Unit RU3C")</f>
        <v>71 Reade St, Unit RU3C</v>
      </c>
      <c r="B1783" s="2" t="str">
        <f t="shared" si="260"/>
        <v>Reade Chambers</v>
      </c>
      <c r="C1783" s="1" t="s">
        <v>65</v>
      </c>
      <c r="D1783" s="1" t="s">
        <v>41</v>
      </c>
      <c r="E1783" s="3">
        <v>1478463</v>
      </c>
      <c r="Q1783" s="1" t="s">
        <v>42</v>
      </c>
      <c r="S1783" s="1" t="s">
        <v>42</v>
      </c>
      <c r="T1783" s="1" t="s">
        <v>153</v>
      </c>
      <c r="AA1783" s="1">
        <v>1478462.5</v>
      </c>
      <c r="AB1783" s="1" t="s">
        <v>1546</v>
      </c>
      <c r="AC1783" s="5">
        <v>42236</v>
      </c>
      <c r="AF1783" s="1">
        <v>10007</v>
      </c>
      <c r="AI1783" s="1" t="s">
        <v>51</v>
      </c>
      <c r="AJ1783" s="1">
        <v>2015</v>
      </c>
      <c r="AK1783" s="1" t="s">
        <v>99</v>
      </c>
      <c r="AL1783" s="1">
        <v>18</v>
      </c>
    </row>
    <row r="1784" spans="1:38" x14ac:dyDescent="0.2">
      <c r="A1784" s="2" t="str">
        <f>HYPERLINK("https://www.compass.com/listing/71-reade-street-unit-ru3d-manhattan-ny-10007/29358353801052401/","71 Reade St, Unit RU3D")</f>
        <v>71 Reade St, Unit RU3D</v>
      </c>
      <c r="B1784" s="2" t="str">
        <f t="shared" si="260"/>
        <v>Reade Chambers</v>
      </c>
      <c r="C1784" s="1" t="s">
        <v>65</v>
      </c>
      <c r="D1784" s="1" t="s">
        <v>41</v>
      </c>
      <c r="E1784" s="3">
        <v>2751275</v>
      </c>
      <c r="F1784" s="1">
        <v>1735.8201892744401</v>
      </c>
      <c r="M1784" s="4">
        <v>1585</v>
      </c>
      <c r="Q1784" s="1" t="s">
        <v>42</v>
      </c>
      <c r="S1784" s="1" t="s">
        <v>42</v>
      </c>
      <c r="T1784" s="1" t="s">
        <v>153</v>
      </c>
      <c r="AA1784" s="1">
        <v>2751275</v>
      </c>
      <c r="AB1784" s="1" t="s">
        <v>1547</v>
      </c>
      <c r="AC1784" s="5">
        <v>42250</v>
      </c>
      <c r="AF1784" s="1">
        <v>10007</v>
      </c>
      <c r="AI1784" s="1" t="s">
        <v>51</v>
      </c>
      <c r="AJ1784" s="1">
        <v>2015</v>
      </c>
      <c r="AK1784" s="1" t="s">
        <v>99</v>
      </c>
      <c r="AL1784" s="1">
        <v>18</v>
      </c>
    </row>
    <row r="1785" spans="1:38" x14ac:dyDescent="0.2">
      <c r="A1785" s="2" t="str">
        <f>HYPERLINK("https://www.compass.com/listing/71-reade-street-unit-ru4c-manhattan-ny-10007/29358354119815345/","71 Reade St, Unit RU4C")</f>
        <v>71 Reade St, Unit RU4C</v>
      </c>
      <c r="B1785" s="2" t="str">
        <f t="shared" si="260"/>
        <v>Reade Chambers</v>
      </c>
      <c r="C1785" s="1" t="s">
        <v>65</v>
      </c>
      <c r="D1785" s="1" t="s">
        <v>41</v>
      </c>
      <c r="E1785" s="3">
        <v>1682113</v>
      </c>
      <c r="F1785" s="1">
        <v>1990.66568047337</v>
      </c>
      <c r="M1785" s="1">
        <v>845</v>
      </c>
      <c r="Q1785" s="1" t="s">
        <v>42</v>
      </c>
      <c r="S1785" s="1" t="s">
        <v>42</v>
      </c>
      <c r="T1785" s="1" t="s">
        <v>153</v>
      </c>
      <c r="AA1785" s="1">
        <v>1682112.5</v>
      </c>
      <c r="AB1785" s="1" t="s">
        <v>1548</v>
      </c>
      <c r="AC1785" s="5">
        <v>42247</v>
      </c>
      <c r="AF1785" s="1">
        <v>10007</v>
      </c>
      <c r="AI1785" s="1" t="s">
        <v>51</v>
      </c>
      <c r="AJ1785" s="1">
        <v>2015</v>
      </c>
      <c r="AK1785" s="1" t="s">
        <v>99</v>
      </c>
      <c r="AL1785" s="1">
        <v>18</v>
      </c>
    </row>
    <row r="1786" spans="1:38" x14ac:dyDescent="0.2">
      <c r="A1786" s="2" t="str">
        <f>HYPERLINK("https://www.compass.com/listing/71-reade-street-unit-ru4d-manhattan-ny-10007/29358354455457905/","71 Reade St, Unit RU4D")</f>
        <v>71 Reade St, Unit RU4D</v>
      </c>
      <c r="B1786" s="2" t="str">
        <f t="shared" si="260"/>
        <v>Reade Chambers</v>
      </c>
      <c r="C1786" s="1" t="s">
        <v>65</v>
      </c>
      <c r="D1786" s="1" t="s">
        <v>41</v>
      </c>
      <c r="E1786" s="3">
        <v>2949834</v>
      </c>
      <c r="F1786" s="1">
        <v>1861.09384858044</v>
      </c>
      <c r="M1786" s="4">
        <v>1585</v>
      </c>
      <c r="Q1786" s="1" t="s">
        <v>42</v>
      </c>
      <c r="S1786" s="1" t="s">
        <v>42</v>
      </c>
      <c r="T1786" s="1" t="s">
        <v>153</v>
      </c>
      <c r="AA1786" s="1">
        <v>2949833.75</v>
      </c>
      <c r="AB1786" s="1" t="s">
        <v>1549</v>
      </c>
      <c r="AC1786" s="5">
        <v>42234</v>
      </c>
      <c r="AF1786" s="1">
        <v>10007</v>
      </c>
      <c r="AI1786" s="1" t="s">
        <v>51</v>
      </c>
      <c r="AJ1786" s="1">
        <v>2015</v>
      </c>
      <c r="AK1786" s="1" t="s">
        <v>99</v>
      </c>
      <c r="AL1786" s="1">
        <v>18</v>
      </c>
    </row>
    <row r="1787" spans="1:38" x14ac:dyDescent="0.2">
      <c r="A1787" s="2" t="str">
        <f>HYPERLINK("https://www.compass.com/listing/71-reade-street-unit-ru5b-manhattan-ny-10007/29358354816073985/","71 Reade St, Unit RU5B")</f>
        <v>71 Reade St, Unit RU5B</v>
      </c>
      <c r="B1787" s="2" t="str">
        <f t="shared" si="260"/>
        <v>Reade Chambers</v>
      </c>
      <c r="C1787" s="1" t="s">
        <v>65</v>
      </c>
      <c r="D1787" s="1" t="s">
        <v>41</v>
      </c>
      <c r="E1787" s="3">
        <v>4584125</v>
      </c>
      <c r="F1787" s="1">
        <v>1801.2278978388899</v>
      </c>
      <c r="M1787" s="4">
        <v>2545</v>
      </c>
      <c r="Q1787" s="1" t="s">
        <v>42</v>
      </c>
      <c r="S1787" s="1" t="s">
        <v>42</v>
      </c>
      <c r="T1787" s="1" t="s">
        <v>153</v>
      </c>
      <c r="AA1787" s="1">
        <v>4584125</v>
      </c>
      <c r="AB1787" s="1" t="s">
        <v>1550</v>
      </c>
      <c r="AC1787" s="5">
        <v>42226</v>
      </c>
      <c r="AF1787" s="1">
        <v>10007</v>
      </c>
      <c r="AI1787" s="1" t="s">
        <v>51</v>
      </c>
      <c r="AJ1787" s="1">
        <v>2015</v>
      </c>
      <c r="AK1787" s="1" t="s">
        <v>99</v>
      </c>
      <c r="AL1787" s="1">
        <v>18</v>
      </c>
    </row>
    <row r="1788" spans="1:38" x14ac:dyDescent="0.2">
      <c r="A1788" s="2" t="str">
        <f>HYPERLINK("https://www.compass.com/listing/71-reade-street-unit-ru6b-manhattan-ny-10007/29358355143225537/","71 Reade St, Unit RU6B")</f>
        <v>71 Reade St, Unit RU6B</v>
      </c>
      <c r="B1788" s="2" t="str">
        <f t="shared" si="260"/>
        <v>Reade Chambers</v>
      </c>
      <c r="C1788" s="1" t="s">
        <v>65</v>
      </c>
      <c r="D1788" s="1" t="s">
        <v>41</v>
      </c>
      <c r="E1788" s="3">
        <v>4884509</v>
      </c>
      <c r="F1788" s="1">
        <v>1919.25687622789</v>
      </c>
      <c r="M1788" s="4">
        <v>2545</v>
      </c>
      <c r="Q1788" s="1" t="s">
        <v>42</v>
      </c>
      <c r="S1788" s="1" t="s">
        <v>42</v>
      </c>
      <c r="T1788" s="1" t="s">
        <v>153</v>
      </c>
      <c r="AA1788" s="1">
        <v>4884508.75</v>
      </c>
      <c r="AB1788" s="1" t="s">
        <v>1551</v>
      </c>
      <c r="AC1788" s="5">
        <v>42227</v>
      </c>
      <c r="AF1788" s="1">
        <v>10007</v>
      </c>
      <c r="AI1788" s="1" t="s">
        <v>51</v>
      </c>
      <c r="AJ1788" s="1">
        <v>2015</v>
      </c>
      <c r="AK1788" s="1" t="s">
        <v>99</v>
      </c>
      <c r="AL1788" s="1">
        <v>18</v>
      </c>
    </row>
    <row r="1789" spans="1:38" x14ac:dyDescent="0.2">
      <c r="A1789" s="2" t="str">
        <f>HYPERLINK("https://www.compass.com/listing/71-reade-street-unit-rupha-manhattan-ny-10007/29358355495645313/","71 Reade St, Unit RUPHA")</f>
        <v>71 Reade St, Unit RUPHA</v>
      </c>
      <c r="B1789" s="2" t="str">
        <f t="shared" si="260"/>
        <v>Reade Chambers</v>
      </c>
      <c r="C1789" s="1" t="s">
        <v>65</v>
      </c>
      <c r="D1789" s="1" t="s">
        <v>41</v>
      </c>
      <c r="E1789" s="3">
        <v>7867129</v>
      </c>
      <c r="F1789" s="1">
        <v>2677.7159223961798</v>
      </c>
      <c r="M1789" s="4">
        <v>2938</v>
      </c>
      <c r="Q1789" s="1" t="s">
        <v>42</v>
      </c>
      <c r="S1789" s="1" t="s">
        <v>42</v>
      </c>
      <c r="T1789" s="1" t="s">
        <v>153</v>
      </c>
      <c r="AA1789" s="1">
        <v>7867129.3799999999</v>
      </c>
      <c r="AB1789" s="1" t="s">
        <v>1552</v>
      </c>
      <c r="AC1789" s="5">
        <v>42475</v>
      </c>
      <c r="AF1789" s="1">
        <v>10007</v>
      </c>
      <c r="AI1789" s="1" t="s">
        <v>51</v>
      </c>
      <c r="AJ1789" s="1">
        <v>2015</v>
      </c>
      <c r="AK1789" s="1" t="s">
        <v>99</v>
      </c>
      <c r="AL1789" s="1">
        <v>18</v>
      </c>
    </row>
    <row r="1790" spans="1:38" x14ac:dyDescent="0.2">
      <c r="A1790" s="2" t="str">
        <f>HYPERLINK("https://www.compass.com/listing/101-leonard-street-unit-10a-manhattan-ny-10013/29358432679135233/","101 Leonard St, Unit 10A")</f>
        <v>101 Leonard St, Unit 10A</v>
      </c>
      <c r="B1790" s="2" t="str">
        <f t="shared" ref="B1790:B1791" si="261">HYPERLINK("https://www.compass.com/building/the-leonard-manhattan-ny/281919139939910965/","The Leonard")</f>
        <v>The Leonard</v>
      </c>
      <c r="C1790" s="1" t="s">
        <v>77</v>
      </c>
      <c r="D1790" s="1" t="s">
        <v>41</v>
      </c>
      <c r="E1790" s="3">
        <v>857000</v>
      </c>
      <c r="F1790" s="1">
        <v>1026.3473053892201</v>
      </c>
      <c r="M1790" s="1">
        <v>835</v>
      </c>
      <c r="Q1790" s="1" t="s">
        <v>42</v>
      </c>
      <c r="S1790" s="1" t="s">
        <v>42</v>
      </c>
      <c r="T1790" s="1" t="s">
        <v>153</v>
      </c>
      <c r="AA1790" s="1">
        <v>857000</v>
      </c>
      <c r="AB1790" s="1" t="s">
        <v>1553</v>
      </c>
      <c r="AC1790" s="5">
        <v>42145</v>
      </c>
      <c r="AF1790" s="1">
        <v>10013</v>
      </c>
      <c r="AI1790" s="1" t="s">
        <v>55</v>
      </c>
      <c r="AJ1790" s="1">
        <v>2014</v>
      </c>
      <c r="AK1790" s="1" t="s">
        <v>49</v>
      </c>
      <c r="AL1790" s="1">
        <v>66</v>
      </c>
    </row>
    <row r="1791" spans="1:38" x14ac:dyDescent="0.2">
      <c r="A1791" s="2" t="str">
        <f>HYPERLINK("https://www.compass.com/listing/101-leonard-street-unit-10f-manhattan-ny-10013/29358433392261073/","101 Leonard St, Unit 10F")</f>
        <v>101 Leonard St, Unit 10F</v>
      </c>
      <c r="B1791" s="2" t="str">
        <f t="shared" si="261"/>
        <v>The Leonard</v>
      </c>
      <c r="C1791" s="1" t="s">
        <v>77</v>
      </c>
      <c r="D1791" s="1" t="s">
        <v>41</v>
      </c>
      <c r="E1791" s="3">
        <v>1905963</v>
      </c>
      <c r="F1791" s="1">
        <v>1490.19741985926</v>
      </c>
      <c r="M1791" s="4">
        <v>1279</v>
      </c>
      <c r="Q1791" s="1" t="s">
        <v>42</v>
      </c>
      <c r="S1791" s="1" t="s">
        <v>42</v>
      </c>
      <c r="T1791" s="1" t="s">
        <v>153</v>
      </c>
      <c r="AA1791" s="1">
        <v>1905962.5</v>
      </c>
      <c r="AB1791" s="1" t="s">
        <v>1554</v>
      </c>
      <c r="AC1791" s="5">
        <v>41977</v>
      </c>
      <c r="AF1791" s="1">
        <v>10013</v>
      </c>
      <c r="AI1791" s="1" t="s">
        <v>55</v>
      </c>
      <c r="AJ1791" s="1">
        <v>2014</v>
      </c>
      <c r="AK1791" s="1" t="s">
        <v>49</v>
      </c>
      <c r="AL1791" s="1">
        <v>66</v>
      </c>
    </row>
    <row r="1792" spans="1:38" x14ac:dyDescent="0.2">
      <c r="A1792" s="2" t="str">
        <f>HYPERLINK("https://www.compass.com/listing/449-washington-street-unit-2-manhattan-ny-10013/29359549244839921/","449 Washington St, Unit 2")</f>
        <v>449 Washington St, Unit 2</v>
      </c>
      <c r="B1792" s="2" t="str">
        <f>HYPERLINK("https://www.compass.com/building/449-washington-street-manhattan-ny/281919898303629445/","449 Washington Street")</f>
        <v>449 Washington Street</v>
      </c>
      <c r="C1792" s="1" t="s">
        <v>65</v>
      </c>
      <c r="D1792" s="1" t="s">
        <v>41</v>
      </c>
      <c r="E1792" s="3">
        <v>3044285</v>
      </c>
      <c r="F1792" s="1">
        <v>1828.39926726726</v>
      </c>
      <c r="M1792" s="4">
        <v>1665</v>
      </c>
      <c r="Q1792" s="1" t="s">
        <v>42</v>
      </c>
      <c r="S1792" s="1" t="s">
        <v>42</v>
      </c>
      <c r="T1792" s="1" t="s">
        <v>153</v>
      </c>
      <c r="AA1792" s="1">
        <v>3044284.78</v>
      </c>
      <c r="AB1792" s="1" t="s">
        <v>1555</v>
      </c>
      <c r="AC1792" s="5">
        <v>42040</v>
      </c>
      <c r="AF1792" s="1">
        <v>10013</v>
      </c>
      <c r="AI1792" s="1" t="s">
        <v>107</v>
      </c>
      <c r="AJ1792" s="1">
        <v>1920</v>
      </c>
      <c r="AL1792" s="1">
        <v>4</v>
      </c>
    </row>
    <row r="1793" spans="1:38" x14ac:dyDescent="0.2">
      <c r="A1793" s="2" t="str">
        <f>HYPERLINK("https://www.compass.com/listing/438-east-12th-street-unit-grda-manhattan-ny-10009/29361645063110625/","438 E 12th St, Unit GRDA")</f>
        <v>438 E 12th St, Unit GRDA</v>
      </c>
      <c r="B1793" s="2" t="str">
        <f t="shared" ref="B1793:B1794" si="262">HYPERLINK("https://www.compass.com/building/steiner-east-village-manhattan-ny/281900317572873557/","Steiner East Village")</f>
        <v>Steiner East Village</v>
      </c>
      <c r="C1793" s="1" t="s">
        <v>52</v>
      </c>
      <c r="D1793" s="1" t="s">
        <v>41</v>
      </c>
      <c r="E1793" s="3">
        <v>1822668</v>
      </c>
      <c r="F1793" s="1">
        <v>1774.7492697176201</v>
      </c>
      <c r="M1793" s="4">
        <v>1027</v>
      </c>
      <c r="Q1793" s="1" t="s">
        <v>42</v>
      </c>
      <c r="S1793" s="1" t="s">
        <v>42</v>
      </c>
      <c r="T1793" s="1" t="s">
        <v>153</v>
      </c>
      <c r="AA1793" s="1">
        <v>1822667.5</v>
      </c>
      <c r="AB1793" s="1" t="s">
        <v>1556</v>
      </c>
      <c r="AC1793" s="5">
        <v>43167</v>
      </c>
      <c r="AF1793" s="1">
        <v>10009</v>
      </c>
      <c r="AI1793" s="1" t="s">
        <v>53</v>
      </c>
      <c r="AJ1793" s="1">
        <v>2017</v>
      </c>
      <c r="AK1793" s="1" t="s">
        <v>49</v>
      </c>
      <c r="AL1793" s="1">
        <v>82</v>
      </c>
    </row>
    <row r="1794" spans="1:38" x14ac:dyDescent="0.2">
      <c r="A1794" s="2" t="str">
        <f>HYPERLINK("https://www.compass.com/listing/438-east-12th-street-unit-grdb-manhattan-ny-10009/29361645381875089/","438 E 12th St, Unit GRDB")</f>
        <v>438 E 12th St, Unit GRDB</v>
      </c>
      <c r="B1794" s="2" t="str">
        <f t="shared" si="262"/>
        <v>Steiner East Village</v>
      </c>
      <c r="C1794" s="1" t="s">
        <v>52</v>
      </c>
      <c r="D1794" s="1" t="s">
        <v>41</v>
      </c>
      <c r="E1794" s="3">
        <v>2035991</v>
      </c>
      <c r="F1794" s="1">
        <v>1703.7580585774001</v>
      </c>
      <c r="M1794" s="4">
        <v>1195</v>
      </c>
      <c r="Q1794" s="1" t="s">
        <v>42</v>
      </c>
      <c r="S1794" s="1" t="s">
        <v>42</v>
      </c>
      <c r="T1794" s="1" t="s">
        <v>153</v>
      </c>
      <c r="AA1794" s="1">
        <v>2035990.88</v>
      </c>
      <c r="AB1794" s="1" t="s">
        <v>1557</v>
      </c>
      <c r="AC1794" s="5">
        <v>43245</v>
      </c>
      <c r="AF1794" s="1">
        <v>10009</v>
      </c>
      <c r="AI1794" s="1" t="s">
        <v>53</v>
      </c>
      <c r="AJ1794" s="1">
        <v>2017</v>
      </c>
      <c r="AK1794" s="1" t="s">
        <v>49</v>
      </c>
      <c r="AL1794" s="1">
        <v>82</v>
      </c>
    </row>
    <row r="1795" spans="1:38" x14ac:dyDescent="0.2">
      <c r="A1795" s="2" t="str">
        <f>HYPERLINK("https://www.compass.com/listing/293-lafayette-street-unit-8a-manhattan-ny-10012/29363119453196593/","293 Lafayette St, Unit 8A")</f>
        <v>293 Lafayette St, Unit 8A</v>
      </c>
      <c r="B1795" s="2" t="str">
        <f t="shared" ref="B1795:B1797" si="263">HYPERLINK("https://www.compass.com/building/puck-penthouses-manhattan-ny/292811307244096869/","Puck Penthouses")</f>
        <v>Puck Penthouses</v>
      </c>
      <c r="C1795" s="1" t="s">
        <v>97</v>
      </c>
      <c r="D1795" s="1" t="s">
        <v>41</v>
      </c>
      <c r="E1795" s="3">
        <v>17821375</v>
      </c>
      <c r="F1795" s="1">
        <v>3975.3234441222298</v>
      </c>
      <c r="M1795" s="4">
        <v>4483</v>
      </c>
      <c r="Q1795" s="1" t="s">
        <v>42</v>
      </c>
      <c r="S1795" s="1" t="s">
        <v>42</v>
      </c>
      <c r="T1795" s="1" t="s">
        <v>153</v>
      </c>
      <c r="AA1795" s="1">
        <v>17821375</v>
      </c>
      <c r="AB1795" s="1" t="s">
        <v>1558</v>
      </c>
      <c r="AC1795" s="5">
        <v>42542</v>
      </c>
      <c r="AF1795" s="1">
        <v>10012</v>
      </c>
      <c r="AI1795" s="1" t="s">
        <v>66</v>
      </c>
      <c r="AJ1795" s="1">
        <v>1885</v>
      </c>
      <c r="AK1795" s="1" t="s">
        <v>49</v>
      </c>
      <c r="AL1795" s="1">
        <v>6</v>
      </c>
    </row>
    <row r="1796" spans="1:38" x14ac:dyDescent="0.2">
      <c r="A1796" s="2" t="str">
        <f>HYPERLINK("https://www.compass.com/listing/293-lafayette-street-unit-8c-manhattan-ny-10012/29363119755192209/","293 Lafayette St, Unit 8C")</f>
        <v>293 Lafayette St, Unit 8C</v>
      </c>
      <c r="B1796" s="2" t="str">
        <f t="shared" si="263"/>
        <v>Puck Penthouses</v>
      </c>
      <c r="C1796" s="1" t="s">
        <v>97</v>
      </c>
      <c r="D1796" s="1" t="s">
        <v>41</v>
      </c>
      <c r="E1796" s="3">
        <v>28001875</v>
      </c>
      <c r="F1796" s="1">
        <v>4906.5840196250201</v>
      </c>
      <c r="M1796" s="4">
        <v>5707</v>
      </c>
      <c r="Q1796" s="1" t="s">
        <v>42</v>
      </c>
      <c r="S1796" s="1" t="s">
        <v>42</v>
      </c>
      <c r="T1796" s="1" t="s">
        <v>153</v>
      </c>
      <c r="AA1796" s="1">
        <v>28001875</v>
      </c>
      <c r="AB1796" s="1" t="s">
        <v>1559</v>
      </c>
      <c r="AC1796" s="5">
        <v>41788</v>
      </c>
      <c r="AF1796" s="1">
        <v>10012</v>
      </c>
      <c r="AI1796" s="1" t="s">
        <v>66</v>
      </c>
      <c r="AJ1796" s="1">
        <v>1885</v>
      </c>
      <c r="AK1796" s="1" t="s">
        <v>49</v>
      </c>
      <c r="AL1796" s="1">
        <v>6</v>
      </c>
    </row>
    <row r="1797" spans="1:38" x14ac:dyDescent="0.2">
      <c r="A1797" s="2" t="str">
        <f>HYPERLINK("https://www.compass.com/listing/293-lafayette-street-unit-9c-manhattan-ny-10012/29363120057135329/","293 Lafayette St, Unit 9C")</f>
        <v>293 Lafayette St, Unit 9C</v>
      </c>
      <c r="B1797" s="2" t="str">
        <f t="shared" si="263"/>
        <v>Puck Penthouses</v>
      </c>
      <c r="C1797" s="1" t="s">
        <v>97</v>
      </c>
      <c r="D1797" s="1" t="s">
        <v>41</v>
      </c>
      <c r="E1797" s="3">
        <v>28511000</v>
      </c>
      <c r="F1797" s="1">
        <v>5742.3967774420898</v>
      </c>
      <c r="M1797" s="4">
        <v>4965</v>
      </c>
      <c r="Q1797" s="1" t="s">
        <v>42</v>
      </c>
      <c r="S1797" s="1" t="s">
        <v>42</v>
      </c>
      <c r="T1797" s="1" t="s">
        <v>153</v>
      </c>
      <c r="AA1797" s="1">
        <v>28511000</v>
      </c>
      <c r="AB1797" s="1" t="s">
        <v>1560</v>
      </c>
      <c r="AC1797" s="5">
        <v>42405</v>
      </c>
      <c r="AF1797" s="1">
        <v>10012</v>
      </c>
      <c r="AI1797" s="1" t="s">
        <v>66</v>
      </c>
      <c r="AJ1797" s="1">
        <v>1885</v>
      </c>
      <c r="AK1797" s="1" t="s">
        <v>49</v>
      </c>
      <c r="AL1797" s="1">
        <v>6</v>
      </c>
    </row>
    <row r="1798" spans="1:38" x14ac:dyDescent="0.2">
      <c r="A1798" s="2" t="str">
        <f>HYPERLINK("https://www.compass.com/listing/215-sullivan-street-unit-phcd-manhattan-ny-10012/29363975703618593/","215 Sullivan St, Unit PHCD")</f>
        <v>215 Sullivan St, Unit PHCD</v>
      </c>
      <c r="B1798" s="2" t="str">
        <f>HYPERLINK("https://www.compass.com/building/215-sullivan-st-manhattan-ny-10012/292810405493901557/","215 Sullivan St")</f>
        <v>215 Sullivan St</v>
      </c>
      <c r="C1798" s="1" t="s">
        <v>159</v>
      </c>
      <c r="D1798" s="1" t="s">
        <v>41</v>
      </c>
      <c r="E1798" s="3">
        <v>14680110</v>
      </c>
      <c r="F1798" s="1">
        <v>3259.3495226465302</v>
      </c>
      <c r="M1798" s="4">
        <v>4504</v>
      </c>
      <c r="Q1798" s="1" t="s">
        <v>42</v>
      </c>
      <c r="S1798" s="1" t="s">
        <v>42</v>
      </c>
      <c r="T1798" s="1" t="s">
        <v>153</v>
      </c>
      <c r="AA1798" s="1">
        <v>14680110.25</v>
      </c>
      <c r="AB1798" s="1" t="s">
        <v>1561</v>
      </c>
      <c r="AC1798" s="5">
        <v>42381</v>
      </c>
      <c r="AF1798" s="1">
        <v>10012</v>
      </c>
      <c r="AI1798" s="1" t="s">
        <v>45</v>
      </c>
      <c r="AJ1798" s="1">
        <v>2014</v>
      </c>
      <c r="AK1798" s="1" t="s">
        <v>99</v>
      </c>
      <c r="AL1798" s="1">
        <v>25</v>
      </c>
    </row>
    <row r="1799" spans="1:38" x14ac:dyDescent="0.2">
      <c r="A1799" s="2" t="str">
        <f>HYPERLINK("https://www.compass.com/listing/738-broadway-unit-5-manhattan-ny-10003/29364091835388145/","738 Broadway, Unit 5")</f>
        <v>738 Broadway, Unit 5</v>
      </c>
      <c r="B1799" s="2" t="str">
        <f>HYPERLINK("https://www.compass.com/building/738-broadway-manhattan-ny-10003/281894757351825157/","738 Broadway")</f>
        <v>738 Broadway</v>
      </c>
      <c r="C1799" s="1" t="s">
        <v>144</v>
      </c>
      <c r="D1799" s="1" t="s">
        <v>41</v>
      </c>
      <c r="E1799" s="3">
        <v>4963969</v>
      </c>
      <c r="F1799" s="1">
        <v>2071.7732679465698</v>
      </c>
      <c r="M1799" s="4">
        <v>2396</v>
      </c>
      <c r="Q1799" s="1" t="s">
        <v>42</v>
      </c>
      <c r="S1799" s="1" t="s">
        <v>42</v>
      </c>
      <c r="T1799" s="1" t="s">
        <v>153</v>
      </c>
      <c r="AA1799" s="1">
        <v>4963968.75</v>
      </c>
      <c r="AB1799" s="1" t="s">
        <v>1562</v>
      </c>
      <c r="AC1799" s="5">
        <v>42277</v>
      </c>
      <c r="AF1799" s="1">
        <v>10003</v>
      </c>
      <c r="AJ1799" s="1">
        <v>1900</v>
      </c>
      <c r="AL1799" s="1">
        <v>4</v>
      </c>
    </row>
    <row r="1800" spans="1:38" x14ac:dyDescent="0.2">
      <c r="A1800" s="2" t="str">
        <f>HYPERLINK("https://www.compass.com/listing/160-west-12th-street-manhattan-ny-10011/29367246237330257/","160 W 12th St, Rm")</f>
        <v>160 W 12th St, Rm</v>
      </c>
      <c r="B1800" s="2" t="str">
        <f t="shared" ref="B1800:B1802" si="264">HYPERLINK("https://www.compass.com/building/the-greenwich-lane-manhattan-ny/282059161326355877/","The Greenwich Lane")</f>
        <v>The Greenwich Lane</v>
      </c>
      <c r="C1800" s="1" t="s">
        <v>40</v>
      </c>
      <c r="D1800" s="1" t="s">
        <v>41</v>
      </c>
      <c r="E1800" s="3">
        <v>3064933</v>
      </c>
      <c r="F1800" s="1">
        <v>2381.4549339549299</v>
      </c>
      <c r="M1800" s="4">
        <v>1287</v>
      </c>
      <c r="Q1800" s="1" t="s">
        <v>42</v>
      </c>
      <c r="S1800" s="1" t="s">
        <v>42</v>
      </c>
      <c r="T1800" s="1" t="s">
        <v>153</v>
      </c>
      <c r="AA1800" s="1">
        <v>3064932.5</v>
      </c>
      <c r="AB1800" s="1" t="s">
        <v>1563</v>
      </c>
      <c r="AC1800" s="5">
        <v>42291</v>
      </c>
      <c r="AF1800" s="1">
        <v>10011</v>
      </c>
      <c r="AI1800" s="1" t="s">
        <v>45</v>
      </c>
      <c r="AJ1800" s="1">
        <v>2016</v>
      </c>
      <c r="AK1800" s="1" t="s">
        <v>49</v>
      </c>
      <c r="AL1800" s="1">
        <v>57</v>
      </c>
    </row>
    <row r="1801" spans="1:38" x14ac:dyDescent="0.2">
      <c r="A1801" s="2" t="str">
        <f>HYPERLINK("https://www.compass.com/listing/160-west-12th-street-unit-31-manhattan-ny-10011/29367249760545665/","160 W 12th St, Unit 31")</f>
        <v>160 W 12th St, Unit 31</v>
      </c>
      <c r="B1801" s="2" t="str">
        <f t="shared" si="264"/>
        <v>The Greenwich Lane</v>
      </c>
      <c r="C1801" s="1" t="s">
        <v>40</v>
      </c>
      <c r="D1801" s="1" t="s">
        <v>41</v>
      </c>
      <c r="E1801" s="3">
        <v>4108261</v>
      </c>
      <c r="F1801" s="1">
        <v>2623.4106002554199</v>
      </c>
      <c r="G1801" s="1">
        <v>4</v>
      </c>
      <c r="H1801" s="1">
        <v>2</v>
      </c>
      <c r="I1801" s="1">
        <v>2</v>
      </c>
      <c r="J1801" s="1">
        <v>2</v>
      </c>
      <c r="K1801" s="1">
        <v>2</v>
      </c>
      <c r="M1801" s="4">
        <v>1566</v>
      </c>
      <c r="N1801" s="1">
        <v>2674</v>
      </c>
      <c r="O1801" s="1">
        <v>5295</v>
      </c>
      <c r="P1801" s="1">
        <v>2621</v>
      </c>
      <c r="Q1801" s="1" t="s">
        <v>42</v>
      </c>
      <c r="S1801" s="1" t="s">
        <v>42</v>
      </c>
      <c r="T1801" s="1" t="s">
        <v>153</v>
      </c>
      <c r="V1801" s="5">
        <v>43636</v>
      </c>
      <c r="W1801" s="5">
        <v>41623</v>
      </c>
      <c r="X1801" s="1">
        <v>4225000</v>
      </c>
      <c r="Y1801" s="1">
        <v>4225000</v>
      </c>
      <c r="Z1801" s="5">
        <v>41623</v>
      </c>
      <c r="AA1801" s="1">
        <v>4108261</v>
      </c>
      <c r="AB1801" s="1" t="s">
        <v>247</v>
      </c>
      <c r="AC1801" s="5">
        <v>42468</v>
      </c>
      <c r="AF1801" s="1">
        <v>10011</v>
      </c>
      <c r="AI1801" s="1" t="s">
        <v>45</v>
      </c>
      <c r="AJ1801" s="1">
        <v>2016</v>
      </c>
      <c r="AK1801" s="1" t="s">
        <v>46</v>
      </c>
      <c r="AL1801" s="1">
        <v>57</v>
      </c>
    </row>
    <row r="1802" spans="1:38" x14ac:dyDescent="0.2">
      <c r="A1802" s="2" t="str">
        <f>HYPERLINK("https://www.compass.com/listing/160-west-12th-street-manhattan-ny-10011/29367267871508897/","160 W 12th St")</f>
        <v>160 W 12th St</v>
      </c>
      <c r="B1802" s="2" t="str">
        <f t="shared" si="264"/>
        <v>The Greenwich Lane</v>
      </c>
      <c r="C1802" s="1" t="s">
        <v>40</v>
      </c>
      <c r="D1802" s="1" t="s">
        <v>41</v>
      </c>
      <c r="E1802" s="3">
        <v>33641696</v>
      </c>
      <c r="F1802" s="1">
        <v>6608.0723629935101</v>
      </c>
      <c r="M1802" s="4">
        <v>5091</v>
      </c>
      <c r="Q1802" s="1" t="s">
        <v>42</v>
      </c>
      <c r="S1802" s="1" t="s">
        <v>42</v>
      </c>
      <c r="T1802" s="1" t="s">
        <v>153</v>
      </c>
      <c r="AA1802" s="1">
        <v>33641696.399999999</v>
      </c>
      <c r="AB1802" s="1" t="s">
        <v>1564</v>
      </c>
      <c r="AC1802" s="5">
        <v>42633</v>
      </c>
      <c r="AF1802" s="1">
        <v>10011</v>
      </c>
      <c r="AI1802" s="1" t="s">
        <v>45</v>
      </c>
      <c r="AJ1802" s="1">
        <v>2016</v>
      </c>
      <c r="AK1802" s="1" t="s">
        <v>49</v>
      </c>
      <c r="AL1802" s="1">
        <v>57</v>
      </c>
    </row>
    <row r="1803" spans="1:38" x14ac:dyDescent="0.2">
      <c r="A1803" s="2" t="str">
        <f>HYPERLINK("https://www.compass.com/listing/21-west-20th-street-unit-2-manhattan-ny-10011/29374662068734945/","21 W 20th St, Unit 2")</f>
        <v>21 W 20th St, Unit 2</v>
      </c>
      <c r="B1803" s="2" t="str">
        <f t="shared" ref="B1803:B1808" si="265">HYPERLINK("https://www.compass.com/building/21w20-manhattan-ny/281906757389799461/","21W20")</f>
        <v>21W20</v>
      </c>
      <c r="C1803" s="1" t="s">
        <v>56</v>
      </c>
      <c r="D1803" s="1" t="s">
        <v>41</v>
      </c>
      <c r="E1803" s="3">
        <v>2543284</v>
      </c>
      <c r="F1803" s="1">
        <v>1953.36712749615</v>
      </c>
      <c r="G1803" s="1">
        <v>3.5</v>
      </c>
      <c r="H1803" s="1">
        <v>2</v>
      </c>
      <c r="I1803" s="1">
        <v>2</v>
      </c>
      <c r="J1803" s="1">
        <v>2</v>
      </c>
      <c r="M1803" s="4">
        <v>1302</v>
      </c>
      <c r="N1803" s="1">
        <v>1783</v>
      </c>
      <c r="O1803" s="1">
        <v>2167</v>
      </c>
      <c r="P1803" s="1">
        <v>384</v>
      </c>
      <c r="Q1803" s="1" t="s">
        <v>42</v>
      </c>
      <c r="S1803" s="1" t="s">
        <v>42</v>
      </c>
      <c r="T1803" s="1" t="s">
        <v>153</v>
      </c>
      <c r="U1803" s="1">
        <v>24</v>
      </c>
      <c r="V1803" s="5">
        <v>43678</v>
      </c>
      <c r="W1803" s="5">
        <v>41702</v>
      </c>
      <c r="X1803" s="1">
        <v>2495000</v>
      </c>
      <c r="Y1803" s="1">
        <v>2495000</v>
      </c>
      <c r="Z1803" s="5">
        <v>42340</v>
      </c>
      <c r="AA1803" s="1">
        <v>2543284</v>
      </c>
      <c r="AB1803" s="1" t="s">
        <v>1565</v>
      </c>
      <c r="AC1803" s="5">
        <v>42469</v>
      </c>
      <c r="AF1803" s="1">
        <v>10011</v>
      </c>
      <c r="AI1803" s="1" t="s">
        <v>81</v>
      </c>
      <c r="AJ1803" s="1">
        <v>2016</v>
      </c>
      <c r="AK1803" s="1" t="s">
        <v>49</v>
      </c>
      <c r="AL1803" s="1">
        <v>13</v>
      </c>
    </row>
    <row r="1804" spans="1:38" x14ac:dyDescent="0.2">
      <c r="A1804" s="2" t="str">
        <f>HYPERLINK("https://www.compass.com/listing/21-west-20th-street-unit-10ph1-manhattan-ny-10011/29374665348736993/","21 W 20th St, Unit 10PH1")</f>
        <v>21 W 20th St, Unit 10PH1</v>
      </c>
      <c r="B1804" s="2" t="str">
        <f t="shared" si="265"/>
        <v>21W20</v>
      </c>
      <c r="C1804" s="1" t="s">
        <v>56</v>
      </c>
      <c r="D1804" s="1" t="s">
        <v>41</v>
      </c>
      <c r="E1804" s="3">
        <v>9523388</v>
      </c>
      <c r="F1804" s="1">
        <v>1967.23559181987</v>
      </c>
      <c r="M1804" s="4">
        <v>4841</v>
      </c>
      <c r="Q1804" s="1" t="s">
        <v>42</v>
      </c>
      <c r="S1804" s="1" t="s">
        <v>42</v>
      </c>
      <c r="T1804" s="1" t="s">
        <v>153</v>
      </c>
      <c r="AA1804" s="1">
        <v>9523387.5</v>
      </c>
      <c r="AB1804" s="1" t="s">
        <v>1566</v>
      </c>
      <c r="AC1804" s="5">
        <v>43110</v>
      </c>
      <c r="AF1804" s="1">
        <v>10011</v>
      </c>
      <c r="AI1804" s="1" t="s">
        <v>81</v>
      </c>
      <c r="AJ1804" s="1">
        <v>2016</v>
      </c>
      <c r="AK1804" s="1" t="s">
        <v>49</v>
      </c>
      <c r="AL1804" s="1">
        <v>13</v>
      </c>
    </row>
    <row r="1805" spans="1:38" x14ac:dyDescent="0.2">
      <c r="A1805" s="2" t="str">
        <f>HYPERLINK("https://www.compass.com/listing/21-west-20th-street-unit-11ph2-manhattan-ny-10011/29374665667447825/","21 W 20th St, Unit 11PH2")</f>
        <v>21 W 20th St, Unit 11PH2</v>
      </c>
      <c r="B1805" s="2" t="str">
        <f t="shared" si="265"/>
        <v>21W20</v>
      </c>
      <c r="C1805" s="1" t="s">
        <v>56</v>
      </c>
      <c r="D1805" s="1" t="s">
        <v>41</v>
      </c>
      <c r="E1805" s="3">
        <v>12578138</v>
      </c>
      <c r="F1805" s="1">
        <v>2697.4345914647201</v>
      </c>
      <c r="M1805" s="4">
        <v>4663</v>
      </c>
      <c r="Q1805" s="1" t="s">
        <v>42</v>
      </c>
      <c r="S1805" s="1" t="s">
        <v>42</v>
      </c>
      <c r="T1805" s="1" t="s">
        <v>153</v>
      </c>
      <c r="AA1805" s="1">
        <v>12578137.5</v>
      </c>
      <c r="AB1805" s="1" t="s">
        <v>1567</v>
      </c>
      <c r="AC1805" s="5">
        <v>42739</v>
      </c>
      <c r="AF1805" s="1">
        <v>10011</v>
      </c>
      <c r="AI1805" s="1" t="s">
        <v>81</v>
      </c>
      <c r="AJ1805" s="1">
        <v>2016</v>
      </c>
      <c r="AK1805" s="1" t="s">
        <v>49</v>
      </c>
      <c r="AL1805" s="1">
        <v>13</v>
      </c>
    </row>
    <row r="1806" spans="1:38" x14ac:dyDescent="0.2">
      <c r="A1806" s="2" t="str">
        <f>HYPERLINK("https://www.compass.com/listing/21-west-20th-street-unit-12ph3-manhattan-ny-10011/29374665935938497/","21 W 20th St, Unit 12PH3")</f>
        <v>21 W 20th St, Unit 12PH3</v>
      </c>
      <c r="B1806" s="2" t="str">
        <f t="shared" si="265"/>
        <v>21W20</v>
      </c>
      <c r="C1806" s="1" t="s">
        <v>56</v>
      </c>
      <c r="D1806" s="1" t="s">
        <v>41</v>
      </c>
      <c r="E1806" s="3">
        <v>17001875</v>
      </c>
      <c r="F1806" s="1">
        <v>4505.00132485426</v>
      </c>
      <c r="M1806" s="4">
        <v>3774</v>
      </c>
      <c r="Q1806" s="1" t="s">
        <v>42</v>
      </c>
      <c r="S1806" s="1" t="s">
        <v>42</v>
      </c>
      <c r="T1806" s="1" t="s">
        <v>153</v>
      </c>
      <c r="AA1806" s="1">
        <v>17001875</v>
      </c>
      <c r="AB1806" s="1" t="s">
        <v>1568</v>
      </c>
      <c r="AC1806" s="5">
        <v>42548</v>
      </c>
      <c r="AF1806" s="1">
        <v>10011</v>
      </c>
      <c r="AI1806" s="1" t="s">
        <v>81</v>
      </c>
      <c r="AJ1806" s="1">
        <v>2016</v>
      </c>
      <c r="AK1806" s="1" t="s">
        <v>49</v>
      </c>
      <c r="AL1806" s="1">
        <v>13</v>
      </c>
    </row>
    <row r="1807" spans="1:38" x14ac:dyDescent="0.2">
      <c r="A1807" s="2" t="str">
        <f>HYPERLINK("https://www.compass.com/listing/21-west-20th-street-unit-12a-manhattan-ny-10011/29374666221152241/","21 W 20th St, Unit 12A")</f>
        <v>21 W 20th St, Unit 12A</v>
      </c>
      <c r="B1807" s="2" t="str">
        <f t="shared" si="265"/>
        <v>21W20</v>
      </c>
      <c r="C1807" s="1" t="s">
        <v>56</v>
      </c>
      <c r="D1807" s="1" t="s">
        <v>41</v>
      </c>
      <c r="E1807" s="3">
        <v>511875</v>
      </c>
      <c r="F1807" s="1">
        <v>1174.0252293577901</v>
      </c>
      <c r="M1807" s="1">
        <v>436</v>
      </c>
      <c r="Q1807" s="1" t="s">
        <v>42</v>
      </c>
      <c r="S1807" s="1" t="s">
        <v>42</v>
      </c>
      <c r="T1807" s="1" t="s">
        <v>153</v>
      </c>
      <c r="AA1807" s="1">
        <v>511875</v>
      </c>
      <c r="AB1807" s="1" t="s">
        <v>1569</v>
      </c>
      <c r="AC1807" s="5">
        <v>42548</v>
      </c>
      <c r="AF1807" s="1">
        <v>10011</v>
      </c>
      <c r="AI1807" s="1" t="s">
        <v>81</v>
      </c>
      <c r="AJ1807" s="1">
        <v>2016</v>
      </c>
      <c r="AK1807" s="1" t="s">
        <v>49</v>
      </c>
      <c r="AL1807" s="1">
        <v>13</v>
      </c>
    </row>
    <row r="1808" spans="1:38" x14ac:dyDescent="0.2">
      <c r="A1808" s="2" t="str">
        <f>HYPERLINK("https://www.compass.com/listing/21-west-20th-street-unit-14ph4-manhattan-ny-10011/29374666523085857/","21 W 20th St, Unit 14PH4")</f>
        <v>21 W 20th St, Unit 14PH4</v>
      </c>
      <c r="B1808" s="2" t="str">
        <f t="shared" si="265"/>
        <v>21W20</v>
      </c>
      <c r="C1808" s="1" t="s">
        <v>56</v>
      </c>
      <c r="D1808" s="1" t="s">
        <v>41</v>
      </c>
      <c r="E1808" s="3">
        <v>10185250</v>
      </c>
      <c r="F1808" s="1">
        <v>3758.39483394833</v>
      </c>
      <c r="M1808" s="4">
        <v>2710</v>
      </c>
      <c r="Q1808" s="1" t="s">
        <v>42</v>
      </c>
      <c r="S1808" s="1" t="s">
        <v>42</v>
      </c>
      <c r="T1808" s="1" t="s">
        <v>153</v>
      </c>
      <c r="AA1808" s="1">
        <v>10185250</v>
      </c>
      <c r="AB1808" s="1" t="s">
        <v>1570</v>
      </c>
      <c r="AC1808" s="5">
        <v>42566</v>
      </c>
      <c r="AF1808" s="1">
        <v>10011</v>
      </c>
      <c r="AI1808" s="1" t="s">
        <v>81</v>
      </c>
      <c r="AJ1808" s="1">
        <v>2016</v>
      </c>
      <c r="AK1808" s="1" t="s">
        <v>49</v>
      </c>
      <c r="AL1808" s="1">
        <v>13</v>
      </c>
    </row>
    <row r="1809" spans="1:38" x14ac:dyDescent="0.2">
      <c r="A1809" s="2" t="str">
        <f>HYPERLINK("https://www.compass.com/listing/160-east-22nd-street-unit-3e-manhattan-ny-10010/29378174001382737/","160 E 22nd St, Unit 3E")</f>
        <v>160 E 22nd St, Unit 3E</v>
      </c>
      <c r="B1809" s="2" t="str">
        <f t="shared" ref="B1809:B1832" si="266">HYPERLINK("https://www.compass.com/building/160-e-22nd-st-manhattan-ny-10010/292796862321154661/","160 E 22nd St")</f>
        <v>160 E 22nd St</v>
      </c>
      <c r="C1809" s="1" t="s">
        <v>54</v>
      </c>
      <c r="D1809" s="1" t="s">
        <v>41</v>
      </c>
      <c r="E1809" s="3">
        <v>894013</v>
      </c>
      <c r="F1809" s="1">
        <v>1554.8058434782599</v>
      </c>
      <c r="M1809" s="1">
        <v>575</v>
      </c>
      <c r="Q1809" s="1" t="s">
        <v>42</v>
      </c>
      <c r="S1809" s="1" t="s">
        <v>42</v>
      </c>
      <c r="T1809" s="1" t="s">
        <v>153</v>
      </c>
      <c r="AA1809" s="1">
        <v>894013.36</v>
      </c>
      <c r="AB1809" s="1" t="s">
        <v>1571</v>
      </c>
      <c r="AC1809" s="5">
        <v>41887</v>
      </c>
      <c r="AF1809" s="1">
        <v>10010</v>
      </c>
      <c r="AI1809" s="1" t="s">
        <v>55</v>
      </c>
      <c r="AJ1809" s="1">
        <v>2012</v>
      </c>
      <c r="AK1809" s="1" t="s">
        <v>49</v>
      </c>
      <c r="AL1809" s="1">
        <v>81</v>
      </c>
    </row>
    <row r="1810" spans="1:38" x14ac:dyDescent="0.2">
      <c r="A1810" s="2" t="str">
        <f>HYPERLINK("https://www.compass.com/listing/160-east-22nd-street-unit-4c-manhattan-ny-10010/29378175125456225/","160 E 22nd St, Unit 4C")</f>
        <v>160 E 22nd St, Unit 4C</v>
      </c>
      <c r="B1810" s="2" t="str">
        <f t="shared" si="266"/>
        <v>160 E 22nd St</v>
      </c>
      <c r="C1810" s="1" t="s">
        <v>54</v>
      </c>
      <c r="D1810" s="1" t="s">
        <v>41</v>
      </c>
      <c r="E1810" s="3">
        <v>2311417</v>
      </c>
      <c r="F1810" s="1">
        <v>2038.28691358024</v>
      </c>
      <c r="M1810" s="4">
        <v>1134</v>
      </c>
      <c r="Q1810" s="1" t="s">
        <v>42</v>
      </c>
      <c r="S1810" s="1" t="s">
        <v>42</v>
      </c>
      <c r="T1810" s="1" t="s">
        <v>153</v>
      </c>
      <c r="AA1810" s="1">
        <v>2311417.36</v>
      </c>
      <c r="AB1810" s="1" t="s">
        <v>1572</v>
      </c>
      <c r="AC1810" s="5">
        <v>41891</v>
      </c>
      <c r="AF1810" s="1">
        <v>10010</v>
      </c>
      <c r="AI1810" s="1" t="s">
        <v>55</v>
      </c>
      <c r="AJ1810" s="1">
        <v>2012</v>
      </c>
      <c r="AK1810" s="1" t="s">
        <v>49</v>
      </c>
      <c r="AL1810" s="1">
        <v>81</v>
      </c>
    </row>
    <row r="1811" spans="1:38" x14ac:dyDescent="0.2">
      <c r="A1811" s="2" t="str">
        <f>HYPERLINK("https://www.compass.com/listing/160-east-22nd-street-unit-4d-manhattan-ny-10010/29378175435828705/","160 E 22nd St, Unit 4D")</f>
        <v>160 E 22nd St, Unit 4D</v>
      </c>
      <c r="B1811" s="2" t="str">
        <f t="shared" si="266"/>
        <v>160 E 22nd St</v>
      </c>
      <c r="C1811" s="1" t="s">
        <v>54</v>
      </c>
      <c r="D1811" s="1" t="s">
        <v>41</v>
      </c>
      <c r="E1811" s="3">
        <v>714801</v>
      </c>
      <c r="F1811" s="1">
        <v>1371.9795777351201</v>
      </c>
      <c r="M1811" s="1">
        <v>521</v>
      </c>
      <c r="Q1811" s="1" t="s">
        <v>42</v>
      </c>
      <c r="S1811" s="1" t="s">
        <v>42</v>
      </c>
      <c r="T1811" s="1" t="s">
        <v>153</v>
      </c>
      <c r="AA1811" s="1">
        <v>714801.36</v>
      </c>
      <c r="AB1811" s="1" t="s">
        <v>1573</v>
      </c>
      <c r="AC1811" s="5">
        <v>41922</v>
      </c>
      <c r="AF1811" s="1">
        <v>10010</v>
      </c>
      <c r="AI1811" s="1" t="s">
        <v>55</v>
      </c>
      <c r="AJ1811" s="1">
        <v>2012</v>
      </c>
      <c r="AK1811" s="1" t="s">
        <v>49</v>
      </c>
      <c r="AL1811" s="1">
        <v>81</v>
      </c>
    </row>
    <row r="1812" spans="1:38" x14ac:dyDescent="0.2">
      <c r="A1812" s="2" t="str">
        <f>HYPERLINK("https://www.compass.com/listing/160-east-22nd-street-unit-5a-manhattan-ny-10010/29378176224363889/","160 E 22nd St, Unit 5A")</f>
        <v>160 E 22nd St, Unit 5A</v>
      </c>
      <c r="B1812" s="2" t="str">
        <f t="shared" si="266"/>
        <v>160 E 22nd St</v>
      </c>
      <c r="C1812" s="1" t="s">
        <v>54</v>
      </c>
      <c r="D1812" s="1" t="s">
        <v>41</v>
      </c>
      <c r="E1812" s="3">
        <v>1421467</v>
      </c>
      <c r="F1812" s="1">
        <v>1678.23714285714</v>
      </c>
      <c r="M1812" s="1">
        <v>847</v>
      </c>
      <c r="Q1812" s="1" t="s">
        <v>42</v>
      </c>
      <c r="S1812" s="1" t="s">
        <v>42</v>
      </c>
      <c r="T1812" s="1" t="s">
        <v>153</v>
      </c>
      <c r="AA1812" s="1">
        <v>1421466.86</v>
      </c>
      <c r="AB1812" s="1" t="s">
        <v>1574</v>
      </c>
      <c r="AC1812" s="5">
        <v>41892</v>
      </c>
      <c r="AF1812" s="1">
        <v>10010</v>
      </c>
      <c r="AI1812" s="1" t="s">
        <v>55</v>
      </c>
      <c r="AJ1812" s="1">
        <v>2012</v>
      </c>
      <c r="AK1812" s="1" t="s">
        <v>49</v>
      </c>
      <c r="AL1812" s="1">
        <v>81</v>
      </c>
    </row>
    <row r="1813" spans="1:38" x14ac:dyDescent="0.2">
      <c r="A1813" s="2" t="str">
        <f>HYPERLINK("https://www.compass.com/listing/160-east-22nd-street-unit-5b-manhattan-ny-10010/29378176568290801/","160 E 22nd St, Unit 5B")</f>
        <v>160 E 22nd St, Unit 5B</v>
      </c>
      <c r="B1813" s="2" t="str">
        <f t="shared" si="266"/>
        <v>160 E 22nd St</v>
      </c>
      <c r="C1813" s="1" t="s">
        <v>54</v>
      </c>
      <c r="D1813" s="1" t="s">
        <v>41</v>
      </c>
      <c r="E1813" s="3">
        <v>997875</v>
      </c>
      <c r="F1813" s="1">
        <v>1437.86002881844</v>
      </c>
      <c r="M1813" s="1">
        <v>694</v>
      </c>
      <c r="Q1813" s="1" t="s">
        <v>42</v>
      </c>
      <c r="S1813" s="1" t="s">
        <v>42</v>
      </c>
      <c r="T1813" s="1" t="s">
        <v>153</v>
      </c>
      <c r="AA1813" s="1">
        <v>997874.86</v>
      </c>
      <c r="AB1813" s="1" t="s">
        <v>1575</v>
      </c>
      <c r="AC1813" s="5">
        <v>41901</v>
      </c>
      <c r="AF1813" s="1">
        <v>10010</v>
      </c>
      <c r="AI1813" s="1" t="s">
        <v>55</v>
      </c>
      <c r="AJ1813" s="1">
        <v>2012</v>
      </c>
      <c r="AK1813" s="1" t="s">
        <v>49</v>
      </c>
      <c r="AL1813" s="1">
        <v>81</v>
      </c>
    </row>
    <row r="1814" spans="1:38" x14ac:dyDescent="0.2">
      <c r="A1814" s="2" t="str">
        <f>HYPERLINK("https://www.compass.com/listing/160-east-22nd-street-unit-6b-manhattan-ny-10010/29378178900323873/","160 E 22nd St, Unit 6B")</f>
        <v>160 E 22nd St, Unit 6B</v>
      </c>
      <c r="B1814" s="2" t="str">
        <f t="shared" si="266"/>
        <v>160 E 22nd St</v>
      </c>
      <c r="C1814" s="1" t="s">
        <v>54</v>
      </c>
      <c r="D1814" s="1" t="s">
        <v>41</v>
      </c>
      <c r="E1814" s="3">
        <v>1374627</v>
      </c>
      <c r="F1814" s="1">
        <v>1980.73106628242</v>
      </c>
      <c r="M1814" s="1">
        <v>694</v>
      </c>
      <c r="Q1814" s="1" t="s">
        <v>42</v>
      </c>
      <c r="S1814" s="1" t="s">
        <v>42</v>
      </c>
      <c r="T1814" s="1" t="s">
        <v>153</v>
      </c>
      <c r="AA1814" s="1">
        <v>1374627.36</v>
      </c>
      <c r="AB1814" s="1" t="s">
        <v>1576</v>
      </c>
      <c r="AC1814" s="5">
        <v>41876</v>
      </c>
      <c r="AF1814" s="1">
        <v>10010</v>
      </c>
      <c r="AI1814" s="1" t="s">
        <v>55</v>
      </c>
      <c r="AJ1814" s="1">
        <v>2012</v>
      </c>
      <c r="AK1814" s="1" t="s">
        <v>49</v>
      </c>
      <c r="AL1814" s="1">
        <v>81</v>
      </c>
    </row>
    <row r="1815" spans="1:38" x14ac:dyDescent="0.2">
      <c r="A1815" s="2" t="str">
        <f>HYPERLINK("https://www.compass.com/listing/160-east-22nd-street-unit-6c-manhattan-ny-10010/29378179227556305/","160 E 22nd St, Unit 6C")</f>
        <v>160 E 22nd St, Unit 6C</v>
      </c>
      <c r="B1815" s="2" t="str">
        <f t="shared" si="266"/>
        <v>160 E 22nd St</v>
      </c>
      <c r="C1815" s="1" t="s">
        <v>54</v>
      </c>
      <c r="D1815" s="1" t="s">
        <v>41</v>
      </c>
      <c r="E1815" s="3">
        <v>1873570</v>
      </c>
      <c r="F1815" s="1">
        <v>1585.0844839255501</v>
      </c>
      <c r="M1815" s="4">
        <v>1182</v>
      </c>
      <c r="Q1815" s="1" t="s">
        <v>42</v>
      </c>
      <c r="S1815" s="1" t="s">
        <v>42</v>
      </c>
      <c r="T1815" s="1" t="s">
        <v>153</v>
      </c>
      <c r="AA1815" s="1">
        <v>1873569.86</v>
      </c>
      <c r="AB1815" s="1" t="s">
        <v>1577</v>
      </c>
      <c r="AC1815" s="5">
        <v>41894</v>
      </c>
      <c r="AF1815" s="1">
        <v>10010</v>
      </c>
      <c r="AI1815" s="1" t="s">
        <v>55</v>
      </c>
      <c r="AJ1815" s="1">
        <v>2012</v>
      </c>
      <c r="AK1815" s="1" t="s">
        <v>49</v>
      </c>
      <c r="AL1815" s="1">
        <v>81</v>
      </c>
    </row>
    <row r="1816" spans="1:38" x14ac:dyDescent="0.2">
      <c r="A1816" s="2" t="str">
        <f>HYPERLINK("https://www.compass.com/listing/160-east-22nd-street-unit-8d-manhattan-ny-10010/29378184126503505/","160 E 22nd St, Unit 8D")</f>
        <v>160 E 22nd St, Unit 8D</v>
      </c>
      <c r="B1816" s="2" t="str">
        <f t="shared" si="266"/>
        <v>160 E 22nd St</v>
      </c>
      <c r="C1816" s="1" t="s">
        <v>54</v>
      </c>
      <c r="D1816" s="1" t="s">
        <v>41</v>
      </c>
      <c r="E1816" s="3">
        <v>1258547</v>
      </c>
      <c r="F1816" s="1">
        <v>1521.8220798065199</v>
      </c>
      <c r="M1816" s="1">
        <v>827</v>
      </c>
      <c r="Q1816" s="1" t="s">
        <v>42</v>
      </c>
      <c r="S1816" s="1" t="s">
        <v>42</v>
      </c>
      <c r="T1816" s="1" t="s">
        <v>153</v>
      </c>
      <c r="AA1816" s="1">
        <v>1258546.8600000001</v>
      </c>
      <c r="AB1816" s="1" t="s">
        <v>1578</v>
      </c>
      <c r="AC1816" s="5">
        <v>41911</v>
      </c>
      <c r="AF1816" s="1">
        <v>10010</v>
      </c>
      <c r="AI1816" s="1" t="s">
        <v>55</v>
      </c>
      <c r="AJ1816" s="1">
        <v>2012</v>
      </c>
      <c r="AK1816" s="1" t="s">
        <v>49</v>
      </c>
      <c r="AL1816" s="1">
        <v>81</v>
      </c>
    </row>
    <row r="1817" spans="1:38" x14ac:dyDescent="0.2">
      <c r="A1817" s="2" t="str">
        <f>HYPERLINK("https://www.compass.com/listing/160-east-22nd-street-unit-9d-manhattan-ny-10010/29378186601142897/","160 E 22nd St, Unit 9D")</f>
        <v>160 E 22nd St, Unit 9D</v>
      </c>
      <c r="B1817" s="2" t="str">
        <f t="shared" si="266"/>
        <v>160 E 22nd St</v>
      </c>
      <c r="C1817" s="1" t="s">
        <v>54</v>
      </c>
      <c r="D1817" s="1" t="s">
        <v>41</v>
      </c>
      <c r="E1817" s="3">
        <v>1592533</v>
      </c>
      <c r="F1817" s="1">
        <v>1034.11224675324</v>
      </c>
      <c r="M1817" s="4">
        <v>1540</v>
      </c>
      <c r="Q1817" s="1" t="s">
        <v>42</v>
      </c>
      <c r="S1817" s="1" t="s">
        <v>42</v>
      </c>
      <c r="T1817" s="1" t="s">
        <v>153</v>
      </c>
      <c r="AA1817" s="1">
        <v>1592532.86</v>
      </c>
      <c r="AB1817" s="1" t="s">
        <v>1579</v>
      </c>
      <c r="AC1817" s="5">
        <v>41918</v>
      </c>
      <c r="AF1817" s="1">
        <v>10010</v>
      </c>
      <c r="AI1817" s="1" t="s">
        <v>55</v>
      </c>
      <c r="AJ1817" s="1">
        <v>2012</v>
      </c>
      <c r="AK1817" s="1" t="s">
        <v>49</v>
      </c>
      <c r="AL1817" s="1">
        <v>81</v>
      </c>
    </row>
    <row r="1818" spans="1:38" x14ac:dyDescent="0.2">
      <c r="A1818" s="2" t="str">
        <f>HYPERLINK("https://www.compass.com/listing/160-east-22nd-street-unit-10a-manhattan-ny-10010/29378187288932097/","160 E 22nd St, Unit 10A")</f>
        <v>160 E 22nd St, Unit 10A</v>
      </c>
      <c r="B1818" s="2" t="str">
        <f t="shared" si="266"/>
        <v>160 E 22nd St</v>
      </c>
      <c r="C1818" s="1" t="s">
        <v>54</v>
      </c>
      <c r="D1818" s="1" t="s">
        <v>41</v>
      </c>
      <c r="E1818" s="3">
        <v>2108786</v>
      </c>
      <c r="F1818" s="1">
        <v>1739.9221204620401</v>
      </c>
      <c r="M1818" s="4">
        <v>1212</v>
      </c>
      <c r="Q1818" s="1" t="s">
        <v>42</v>
      </c>
      <c r="S1818" s="1" t="s">
        <v>42</v>
      </c>
      <c r="T1818" s="1" t="s">
        <v>153</v>
      </c>
      <c r="AA1818" s="1">
        <v>2108785.61</v>
      </c>
      <c r="AB1818" s="1" t="s">
        <v>1580</v>
      </c>
      <c r="AC1818" s="5">
        <v>41920</v>
      </c>
      <c r="AF1818" s="1">
        <v>10010</v>
      </c>
      <c r="AI1818" s="1" t="s">
        <v>55</v>
      </c>
      <c r="AJ1818" s="1">
        <v>2012</v>
      </c>
      <c r="AK1818" s="1" t="s">
        <v>49</v>
      </c>
      <c r="AL1818" s="1">
        <v>81</v>
      </c>
    </row>
    <row r="1819" spans="1:38" x14ac:dyDescent="0.2">
      <c r="A1819" s="2" t="str">
        <f>HYPERLINK("https://www.compass.com/listing/160-east-22nd-street-unit-10e-manhattan-ny-10010/29378188773792417/","160 E 22nd St, Unit 10E")</f>
        <v>160 E 22nd St, Unit 10E</v>
      </c>
      <c r="B1819" s="2" t="str">
        <f t="shared" si="266"/>
        <v>160 E 22nd St</v>
      </c>
      <c r="C1819" s="1" t="s">
        <v>54</v>
      </c>
      <c r="D1819" s="1" t="s">
        <v>41</v>
      </c>
      <c r="E1819" s="3">
        <v>2718717</v>
      </c>
      <c r="F1819" s="1">
        <v>1765.4008831168801</v>
      </c>
      <c r="M1819" s="4">
        <v>1540</v>
      </c>
      <c r="Q1819" s="1" t="s">
        <v>42</v>
      </c>
      <c r="S1819" s="1" t="s">
        <v>42</v>
      </c>
      <c r="T1819" s="1" t="s">
        <v>153</v>
      </c>
      <c r="AA1819" s="1">
        <v>2718717.36</v>
      </c>
      <c r="AB1819" s="1" t="s">
        <v>1581</v>
      </c>
      <c r="AC1819" s="5">
        <v>41975</v>
      </c>
      <c r="AF1819" s="1">
        <v>10010</v>
      </c>
      <c r="AI1819" s="1" t="s">
        <v>55</v>
      </c>
      <c r="AJ1819" s="1">
        <v>2012</v>
      </c>
      <c r="AK1819" s="1" t="s">
        <v>49</v>
      </c>
      <c r="AL1819" s="1">
        <v>81</v>
      </c>
    </row>
    <row r="1820" spans="1:38" x14ac:dyDescent="0.2">
      <c r="A1820" s="2" t="str">
        <f>HYPERLINK("https://www.compass.com/listing/160-east-22nd-street-unit-12b-manhattan-ny-10010/29378191256743777/","160 E 22nd St, Unit 12B")</f>
        <v>160 E 22nd St, Unit 12B</v>
      </c>
      <c r="B1820" s="2" t="str">
        <f t="shared" si="266"/>
        <v>160 E 22nd St</v>
      </c>
      <c r="C1820" s="1" t="s">
        <v>54</v>
      </c>
      <c r="D1820" s="1" t="s">
        <v>41</v>
      </c>
      <c r="E1820" s="3">
        <v>1498854</v>
      </c>
      <c r="F1820" s="1">
        <v>2075.97487534626</v>
      </c>
      <c r="M1820" s="1">
        <v>722</v>
      </c>
      <c r="Q1820" s="1" t="s">
        <v>42</v>
      </c>
      <c r="S1820" s="1" t="s">
        <v>42</v>
      </c>
      <c r="T1820" s="1" t="s">
        <v>153</v>
      </c>
      <c r="AA1820" s="1">
        <v>1498853.86</v>
      </c>
      <c r="AB1820" s="1" t="s">
        <v>1582</v>
      </c>
      <c r="AC1820" s="5">
        <v>41941</v>
      </c>
      <c r="AF1820" s="1">
        <v>10010</v>
      </c>
      <c r="AI1820" s="1" t="s">
        <v>55</v>
      </c>
      <c r="AJ1820" s="1">
        <v>2012</v>
      </c>
      <c r="AK1820" s="1" t="s">
        <v>49</v>
      </c>
      <c r="AL1820" s="1">
        <v>81</v>
      </c>
    </row>
    <row r="1821" spans="1:38" x14ac:dyDescent="0.2">
      <c r="A1821" s="2" t="str">
        <f>HYPERLINK("https://www.compass.com/listing/160-east-22nd-street-unit-12c-manhattan-ny-10010/29378191583976177/","160 E 22nd St, Unit 12C")</f>
        <v>160 E 22nd St, Unit 12C</v>
      </c>
      <c r="B1821" s="2" t="str">
        <f t="shared" si="266"/>
        <v>160 E 22nd St</v>
      </c>
      <c r="C1821" s="1" t="s">
        <v>54</v>
      </c>
      <c r="D1821" s="1" t="s">
        <v>41</v>
      </c>
      <c r="E1821" s="3">
        <v>2560889</v>
      </c>
      <c r="F1821" s="1">
        <v>2256.2895242290701</v>
      </c>
      <c r="M1821" s="4">
        <v>1135</v>
      </c>
      <c r="Q1821" s="1" t="s">
        <v>42</v>
      </c>
      <c r="S1821" s="1" t="s">
        <v>42</v>
      </c>
      <c r="T1821" s="1" t="s">
        <v>153</v>
      </c>
      <c r="AA1821" s="1">
        <v>2560888.61</v>
      </c>
      <c r="AB1821" s="1" t="s">
        <v>1583</v>
      </c>
      <c r="AC1821" s="5">
        <v>41942</v>
      </c>
      <c r="AF1821" s="1">
        <v>10010</v>
      </c>
      <c r="AI1821" s="1" t="s">
        <v>55</v>
      </c>
      <c r="AJ1821" s="1">
        <v>2012</v>
      </c>
      <c r="AK1821" s="1" t="s">
        <v>49</v>
      </c>
      <c r="AL1821" s="1">
        <v>81</v>
      </c>
    </row>
    <row r="1822" spans="1:38" x14ac:dyDescent="0.2">
      <c r="A1822" s="2" t="str">
        <f>HYPERLINK("https://www.compass.com/listing/160-east-22nd-street-unit-12d-manhattan-ny-10010/29378191894284129/","160 E 22nd St, Unit 12D")</f>
        <v>160 E 22nd St, Unit 12D</v>
      </c>
      <c r="B1822" s="2" t="str">
        <f t="shared" si="266"/>
        <v>160 E 22nd St</v>
      </c>
      <c r="C1822" s="1" t="s">
        <v>54</v>
      </c>
      <c r="D1822" s="1" t="s">
        <v>41</v>
      </c>
      <c r="E1822" s="3">
        <v>1549766</v>
      </c>
      <c r="Q1822" s="1" t="s">
        <v>42</v>
      </c>
      <c r="S1822" s="1" t="s">
        <v>42</v>
      </c>
      <c r="T1822" s="1" t="s">
        <v>153</v>
      </c>
      <c r="AA1822" s="1">
        <v>1549766.36</v>
      </c>
      <c r="AB1822" s="1" t="s">
        <v>1584</v>
      </c>
      <c r="AC1822" s="5">
        <v>41962</v>
      </c>
      <c r="AF1822" s="1">
        <v>10010</v>
      </c>
      <c r="AI1822" s="1" t="s">
        <v>55</v>
      </c>
      <c r="AJ1822" s="1">
        <v>2012</v>
      </c>
      <c r="AK1822" s="1" t="s">
        <v>49</v>
      </c>
      <c r="AL1822" s="1">
        <v>81</v>
      </c>
    </row>
    <row r="1823" spans="1:38" x14ac:dyDescent="0.2">
      <c r="A1823" s="2" t="str">
        <f>HYPERLINK("https://www.compass.com/listing/160-east-22nd-street-unit-14a-manhattan-ny-10010/29378192615774977/","160 E 22nd St, Unit 14A")</f>
        <v>160 E 22nd St, Unit 14A</v>
      </c>
      <c r="B1823" s="2" t="str">
        <f t="shared" si="266"/>
        <v>160 E 22nd St</v>
      </c>
      <c r="C1823" s="1" t="s">
        <v>54</v>
      </c>
      <c r="D1823" s="1" t="s">
        <v>41</v>
      </c>
      <c r="E1823" s="3">
        <v>2132205</v>
      </c>
      <c r="F1823" s="1">
        <v>1759.24534653465</v>
      </c>
      <c r="M1823" s="4">
        <v>1212</v>
      </c>
      <c r="Q1823" s="1" t="s">
        <v>42</v>
      </c>
      <c r="S1823" s="1" t="s">
        <v>42</v>
      </c>
      <c r="T1823" s="1" t="s">
        <v>153</v>
      </c>
      <c r="AA1823" s="1">
        <v>2132205.36</v>
      </c>
      <c r="AB1823" s="1" t="s">
        <v>1585</v>
      </c>
      <c r="AC1823" s="5">
        <v>41957</v>
      </c>
      <c r="AF1823" s="1">
        <v>10010</v>
      </c>
      <c r="AI1823" s="1" t="s">
        <v>55</v>
      </c>
      <c r="AJ1823" s="1">
        <v>2012</v>
      </c>
      <c r="AK1823" s="1" t="s">
        <v>49</v>
      </c>
      <c r="AL1823" s="1">
        <v>81</v>
      </c>
    </row>
    <row r="1824" spans="1:38" x14ac:dyDescent="0.2">
      <c r="A1824" s="2" t="str">
        <f>HYPERLINK("https://www.compass.com/listing/160-east-22nd-street-unit-14c-manhattan-ny-10010/29378194008283921/","160 E 22nd St, Unit 14C")</f>
        <v>160 E 22nd St, Unit 14C</v>
      </c>
      <c r="B1824" s="2" t="str">
        <f t="shared" si="266"/>
        <v>160 E 22nd St</v>
      </c>
      <c r="C1824" s="1" t="s">
        <v>54</v>
      </c>
      <c r="D1824" s="1" t="s">
        <v>41</v>
      </c>
      <c r="E1824" s="3">
        <v>1868479</v>
      </c>
      <c r="F1824" s="1">
        <v>1646.23666079295</v>
      </c>
      <c r="M1824" s="4">
        <v>1135</v>
      </c>
      <c r="Q1824" s="1" t="s">
        <v>42</v>
      </c>
      <c r="S1824" s="1" t="s">
        <v>42</v>
      </c>
      <c r="T1824" s="1" t="s">
        <v>153</v>
      </c>
      <c r="AA1824" s="1">
        <v>1868478.61</v>
      </c>
      <c r="AB1824" s="1" t="s">
        <v>1586</v>
      </c>
      <c r="AC1824" s="5">
        <v>41955</v>
      </c>
      <c r="AF1824" s="1">
        <v>10010</v>
      </c>
      <c r="AI1824" s="1" t="s">
        <v>55</v>
      </c>
      <c r="AJ1824" s="1">
        <v>2012</v>
      </c>
      <c r="AK1824" s="1" t="s">
        <v>49</v>
      </c>
      <c r="AL1824" s="1">
        <v>81</v>
      </c>
    </row>
    <row r="1825" spans="1:38" x14ac:dyDescent="0.2">
      <c r="A1825" s="2" t="str">
        <f>HYPERLINK("https://www.compass.com/listing/160-east-22nd-street-unit-14d-manhattan-ny-10010/29378194310203313/","160 E 22nd St, Unit 14D")</f>
        <v>160 E 22nd St, Unit 14D</v>
      </c>
      <c r="B1825" s="2" t="str">
        <f t="shared" si="266"/>
        <v>160 E 22nd St</v>
      </c>
      <c r="C1825" s="1" t="s">
        <v>54</v>
      </c>
      <c r="D1825" s="1" t="s">
        <v>41</v>
      </c>
      <c r="E1825" s="3">
        <v>1566058</v>
      </c>
      <c r="F1825" s="1">
        <v>1880.02204081632</v>
      </c>
      <c r="M1825" s="1">
        <v>833</v>
      </c>
      <c r="Q1825" s="1" t="s">
        <v>42</v>
      </c>
      <c r="S1825" s="1" t="s">
        <v>42</v>
      </c>
      <c r="T1825" s="1" t="s">
        <v>153</v>
      </c>
      <c r="AA1825" s="1">
        <v>1566058.36</v>
      </c>
      <c r="AB1825" s="1" t="s">
        <v>1587</v>
      </c>
      <c r="AC1825" s="5">
        <v>41953</v>
      </c>
      <c r="AF1825" s="1">
        <v>10010</v>
      </c>
      <c r="AI1825" s="1" t="s">
        <v>55</v>
      </c>
      <c r="AJ1825" s="1">
        <v>2012</v>
      </c>
      <c r="AK1825" s="1" t="s">
        <v>49</v>
      </c>
      <c r="AL1825" s="1">
        <v>81</v>
      </c>
    </row>
    <row r="1826" spans="1:38" x14ac:dyDescent="0.2">
      <c r="A1826" s="2" t="str">
        <f>HYPERLINK("https://www.compass.com/listing/160-east-22nd-street-unit-15a-manhattan-ny-10010/29378194998139681/","160 E 22nd St, Unit 15A")</f>
        <v>160 E 22nd St, Unit 15A</v>
      </c>
      <c r="B1826" s="2" t="str">
        <f t="shared" si="266"/>
        <v>160 E 22nd St</v>
      </c>
      <c r="C1826" s="1" t="s">
        <v>54</v>
      </c>
      <c r="D1826" s="1" t="s">
        <v>41</v>
      </c>
      <c r="E1826" s="3">
        <v>2381677</v>
      </c>
      <c r="F1826" s="1">
        <v>1965.0797112211201</v>
      </c>
      <c r="M1826" s="4">
        <v>1212</v>
      </c>
      <c r="Q1826" s="1" t="s">
        <v>42</v>
      </c>
      <c r="S1826" s="1" t="s">
        <v>42</v>
      </c>
      <c r="T1826" s="1" t="s">
        <v>153</v>
      </c>
      <c r="AA1826" s="1">
        <v>2381676.61</v>
      </c>
      <c r="AB1826" s="1" t="s">
        <v>1588</v>
      </c>
      <c r="AC1826" s="5">
        <v>41960</v>
      </c>
      <c r="AF1826" s="1">
        <v>10010</v>
      </c>
      <c r="AI1826" s="1" t="s">
        <v>55</v>
      </c>
      <c r="AJ1826" s="1">
        <v>2012</v>
      </c>
      <c r="AK1826" s="1" t="s">
        <v>49</v>
      </c>
      <c r="AL1826" s="1">
        <v>81</v>
      </c>
    </row>
    <row r="1827" spans="1:38" x14ac:dyDescent="0.2">
      <c r="A1827" s="2" t="str">
        <f>HYPERLINK("https://www.compass.com/listing/160-east-22nd-street-unit-15c-manhattan-ny-10010/29378195610431489/","160 E 22nd St, Unit 15C")</f>
        <v>160 E 22nd St, Unit 15C</v>
      </c>
      <c r="B1827" s="2" t="str">
        <f t="shared" si="266"/>
        <v>160 E 22nd St</v>
      </c>
      <c r="C1827" s="1" t="s">
        <v>54</v>
      </c>
      <c r="D1827" s="1" t="s">
        <v>41</v>
      </c>
      <c r="E1827" s="3">
        <v>2336874</v>
      </c>
      <c r="F1827" s="1">
        <v>2058.9194801762101</v>
      </c>
      <c r="M1827" s="4">
        <v>1135</v>
      </c>
      <c r="Q1827" s="1" t="s">
        <v>42</v>
      </c>
      <c r="S1827" s="1" t="s">
        <v>42</v>
      </c>
      <c r="T1827" s="1" t="s">
        <v>153</v>
      </c>
      <c r="AA1827" s="1">
        <v>2336873.61</v>
      </c>
      <c r="AB1827" s="1" t="s">
        <v>1589</v>
      </c>
      <c r="AC1827" s="5">
        <v>41957</v>
      </c>
      <c r="AF1827" s="1">
        <v>10010</v>
      </c>
      <c r="AI1827" s="1" t="s">
        <v>55</v>
      </c>
      <c r="AJ1827" s="1">
        <v>2012</v>
      </c>
      <c r="AK1827" s="1" t="s">
        <v>49</v>
      </c>
      <c r="AL1827" s="1">
        <v>81</v>
      </c>
    </row>
    <row r="1828" spans="1:38" x14ac:dyDescent="0.2">
      <c r="A1828" s="2" t="str">
        <f>HYPERLINK("https://www.compass.com/listing/160-east-22nd-street-unit-15d-manhattan-ny-10010/29378195920886577/","160 E 22nd St, Unit 15D")</f>
        <v>160 E 22nd St, Unit 15D</v>
      </c>
      <c r="B1828" s="2" t="str">
        <f t="shared" si="266"/>
        <v>160 E 22nd St</v>
      </c>
      <c r="C1828" s="1" t="s">
        <v>54</v>
      </c>
      <c r="D1828" s="1" t="s">
        <v>41</v>
      </c>
      <c r="E1828" s="3">
        <v>1541620</v>
      </c>
      <c r="F1828" s="1">
        <v>1850.68470588235</v>
      </c>
      <c r="M1828" s="1">
        <v>833</v>
      </c>
      <c r="Q1828" s="1" t="s">
        <v>42</v>
      </c>
      <c r="S1828" s="1" t="s">
        <v>42</v>
      </c>
      <c r="T1828" s="1" t="s">
        <v>153</v>
      </c>
      <c r="AA1828" s="1">
        <v>1541620.36</v>
      </c>
      <c r="AB1828" s="1" t="s">
        <v>1590</v>
      </c>
      <c r="AC1828" s="5">
        <v>41964</v>
      </c>
      <c r="AF1828" s="1">
        <v>10010</v>
      </c>
      <c r="AI1828" s="1" t="s">
        <v>55</v>
      </c>
      <c r="AJ1828" s="1">
        <v>2012</v>
      </c>
      <c r="AK1828" s="1" t="s">
        <v>49</v>
      </c>
      <c r="AL1828" s="1">
        <v>81</v>
      </c>
    </row>
    <row r="1829" spans="1:38" x14ac:dyDescent="0.2">
      <c r="A1829" s="2" t="str">
        <f>HYPERLINK("https://www.compass.com/listing/160-east-22nd-street-unit-16b-manhattan-ny-10010/29378196952685377/","160 E 22nd St, Unit 16B")</f>
        <v>160 E 22nd St, Unit 16B</v>
      </c>
      <c r="B1829" s="2" t="str">
        <f t="shared" si="266"/>
        <v>160 E 22nd St</v>
      </c>
      <c r="C1829" s="1" t="s">
        <v>54</v>
      </c>
      <c r="D1829" s="1" t="s">
        <v>41</v>
      </c>
      <c r="E1829" s="3">
        <v>1527365</v>
      </c>
      <c r="F1829" s="1">
        <v>2115.4637950138499</v>
      </c>
      <c r="M1829" s="1">
        <v>722</v>
      </c>
      <c r="Q1829" s="1" t="s">
        <v>42</v>
      </c>
      <c r="S1829" s="1" t="s">
        <v>42</v>
      </c>
      <c r="T1829" s="1" t="s">
        <v>153</v>
      </c>
      <c r="AA1829" s="1">
        <v>1527364.86</v>
      </c>
      <c r="AB1829" s="1" t="s">
        <v>1591</v>
      </c>
      <c r="AC1829" s="5">
        <v>41963</v>
      </c>
      <c r="AF1829" s="1">
        <v>10010</v>
      </c>
      <c r="AI1829" s="1" t="s">
        <v>55</v>
      </c>
      <c r="AJ1829" s="1">
        <v>2012</v>
      </c>
      <c r="AK1829" s="1" t="s">
        <v>49</v>
      </c>
      <c r="AL1829" s="1">
        <v>81</v>
      </c>
    </row>
    <row r="1830" spans="1:38" x14ac:dyDescent="0.2">
      <c r="A1830" s="2" t="str">
        <f>HYPERLINK("https://www.compass.com/listing/160-east-22nd-street-unit-16e-manhattan-ny-10010/29378198588393505/","160 E 22nd St, Unit 16E")</f>
        <v>160 E 22nd St, Unit 16E</v>
      </c>
      <c r="B1830" s="2" t="str">
        <f t="shared" si="266"/>
        <v>160 E 22nd St</v>
      </c>
      <c r="C1830" s="1" t="s">
        <v>54</v>
      </c>
      <c r="D1830" s="1" t="s">
        <v>41</v>
      </c>
      <c r="E1830" s="3">
        <v>2820542</v>
      </c>
      <c r="F1830" s="1">
        <v>1831.52101298701</v>
      </c>
      <c r="M1830" s="4">
        <v>1540</v>
      </c>
      <c r="Q1830" s="1" t="s">
        <v>42</v>
      </c>
      <c r="S1830" s="1" t="s">
        <v>42</v>
      </c>
      <c r="T1830" s="1" t="s">
        <v>153</v>
      </c>
      <c r="AA1830" s="1">
        <v>2820542.36</v>
      </c>
      <c r="AB1830" s="1" t="s">
        <v>1592</v>
      </c>
      <c r="AC1830" s="5">
        <v>41985</v>
      </c>
      <c r="AF1830" s="1">
        <v>10010</v>
      </c>
      <c r="AI1830" s="1" t="s">
        <v>55</v>
      </c>
      <c r="AJ1830" s="1">
        <v>2012</v>
      </c>
      <c r="AK1830" s="1" t="s">
        <v>49</v>
      </c>
      <c r="AL1830" s="1">
        <v>81</v>
      </c>
    </row>
    <row r="1831" spans="1:38" x14ac:dyDescent="0.2">
      <c r="A1831" s="2" t="str">
        <f>HYPERLINK("https://www.compass.com/listing/160-east-22nd-street-unit-17b-manhattan-ny-10010/29378199284718481/","160 E 22nd St, Unit 17B")</f>
        <v>160 E 22nd St, Unit 17B</v>
      </c>
      <c r="B1831" s="2" t="str">
        <f t="shared" si="266"/>
        <v>160 E 22nd St</v>
      </c>
      <c r="C1831" s="1" t="s">
        <v>54</v>
      </c>
      <c r="D1831" s="1" t="s">
        <v>41</v>
      </c>
      <c r="E1831" s="3">
        <v>4072990</v>
      </c>
      <c r="F1831" s="1">
        <v>2699.1317826374998</v>
      </c>
      <c r="M1831" s="4">
        <v>1509</v>
      </c>
      <c r="Q1831" s="1" t="s">
        <v>42</v>
      </c>
      <c r="S1831" s="1" t="s">
        <v>42</v>
      </c>
      <c r="T1831" s="1" t="s">
        <v>153</v>
      </c>
      <c r="AA1831" s="1">
        <v>4072989.86</v>
      </c>
      <c r="AB1831" s="1" t="s">
        <v>1593</v>
      </c>
      <c r="AC1831" s="5">
        <v>41992</v>
      </c>
      <c r="AF1831" s="1">
        <v>10010</v>
      </c>
      <c r="AI1831" s="1" t="s">
        <v>55</v>
      </c>
      <c r="AJ1831" s="1">
        <v>2012</v>
      </c>
      <c r="AK1831" s="1" t="s">
        <v>49</v>
      </c>
      <c r="AL1831" s="1">
        <v>81</v>
      </c>
    </row>
    <row r="1832" spans="1:38" x14ac:dyDescent="0.2">
      <c r="A1832" s="2" t="str">
        <f>HYPERLINK("https://www.compass.com/listing/160-east-22nd-street-unit-18a-manhattan-ny-10010/29378199913787537/","160 E 22nd St, Unit 18A")</f>
        <v>160 E 22nd St, Unit 18A</v>
      </c>
      <c r="B1832" s="2" t="str">
        <f t="shared" si="266"/>
        <v>160 E 22nd St</v>
      </c>
      <c r="C1832" s="1" t="s">
        <v>54</v>
      </c>
      <c r="D1832" s="1" t="s">
        <v>41</v>
      </c>
      <c r="E1832" s="3">
        <v>3155565</v>
      </c>
      <c r="F1832" s="1">
        <v>2222.2287746478801</v>
      </c>
      <c r="M1832" s="4">
        <v>1420</v>
      </c>
      <c r="Q1832" s="1" t="s">
        <v>42</v>
      </c>
      <c r="S1832" s="1" t="s">
        <v>42</v>
      </c>
      <c r="T1832" s="1" t="s">
        <v>153</v>
      </c>
      <c r="AA1832" s="1">
        <v>3155564.86</v>
      </c>
      <c r="AB1832" s="1" t="s">
        <v>1594</v>
      </c>
      <c r="AC1832" s="5">
        <v>41995</v>
      </c>
      <c r="AF1832" s="1">
        <v>10010</v>
      </c>
      <c r="AI1832" s="1" t="s">
        <v>55</v>
      </c>
      <c r="AJ1832" s="1">
        <v>2012</v>
      </c>
      <c r="AK1832" s="1" t="s">
        <v>49</v>
      </c>
      <c r="AL1832" s="1">
        <v>81</v>
      </c>
    </row>
    <row r="1833" spans="1:38" x14ac:dyDescent="0.2">
      <c r="A1833" s="2" t="str">
        <f>HYPERLINK("https://www.compass.com/listing/322-west-52nd-street-unit-2-manhattan-ny-10019/29387991315130097/","322 W 52nd St, Unit 2")</f>
        <v>322 W 52nd St, Unit 2</v>
      </c>
      <c r="B1833" s="2" t="str">
        <f>HYPERLINK("https://www.compass.com/building/322-w-52nd-st-manhattan-ny-10019/307437077532611861/","322 W 52nd St")</f>
        <v>322 W 52nd St</v>
      </c>
      <c r="C1833" s="1" t="s">
        <v>67</v>
      </c>
      <c r="D1833" s="1" t="s">
        <v>41</v>
      </c>
      <c r="E1833" s="3">
        <v>13100000</v>
      </c>
      <c r="F1833" s="1">
        <v>309.54631379962098</v>
      </c>
      <c r="M1833" s="4">
        <v>42320</v>
      </c>
      <c r="Q1833" s="1" t="s">
        <v>42</v>
      </c>
      <c r="S1833" s="1" t="s">
        <v>42</v>
      </c>
      <c r="T1833" s="1" t="s">
        <v>153</v>
      </c>
      <c r="AA1833" s="1">
        <v>13100000</v>
      </c>
      <c r="AB1833" s="1" t="s">
        <v>1595</v>
      </c>
      <c r="AC1833" s="5">
        <v>41814</v>
      </c>
      <c r="AF1833" s="1">
        <v>10019</v>
      </c>
    </row>
    <row r="1834" spans="1:38" x14ac:dyDescent="0.2">
      <c r="A1834" s="2" t="str">
        <f>HYPERLINK("https://www.compass.com/listing/450-west-42nd-street-unit-51e-manhattan-ny-10036/29388990591316273/","450 W 42nd St, Unit 51E")</f>
        <v>450 W 42nd St, Unit 51E</v>
      </c>
      <c r="B1834" s="2" t="str">
        <f t="shared" ref="B1834:B1868" si="267">HYPERLINK("https://www.compass.com/building/mima-manhattan-ny/282025546404079525/","MiMA")</f>
        <v>MiMA</v>
      </c>
      <c r="C1834" s="1" t="s">
        <v>67</v>
      </c>
      <c r="D1834" s="1" t="s">
        <v>41</v>
      </c>
      <c r="E1834" s="3">
        <v>1395003</v>
      </c>
      <c r="F1834" s="1">
        <v>2527.17844202898</v>
      </c>
      <c r="M1834" s="1">
        <v>552</v>
      </c>
      <c r="Q1834" s="1" t="s">
        <v>42</v>
      </c>
      <c r="S1834" s="1" t="s">
        <v>42</v>
      </c>
      <c r="T1834" s="1" t="s">
        <v>153</v>
      </c>
      <c r="AA1834" s="1">
        <v>1395002.5</v>
      </c>
      <c r="AB1834" s="1" t="s">
        <v>1596</v>
      </c>
      <c r="AC1834" s="5">
        <v>43006</v>
      </c>
      <c r="AF1834" s="1">
        <v>10036</v>
      </c>
      <c r="AI1834" s="1" t="s">
        <v>1450</v>
      </c>
      <c r="AJ1834" s="1">
        <v>2012</v>
      </c>
      <c r="AK1834" s="1" t="s">
        <v>49</v>
      </c>
      <c r="AL1834" s="1">
        <v>943</v>
      </c>
    </row>
    <row r="1835" spans="1:38" x14ac:dyDescent="0.2">
      <c r="A1835" s="2" t="str">
        <f>HYPERLINK("https://www.compass.com/listing/450-west-42nd-street-unit-51f-manhattan-ny-10036/29388990884975089/","450 W 42nd St, Unit 51F")</f>
        <v>450 W 42nd St, Unit 51F</v>
      </c>
      <c r="B1835" s="2" t="str">
        <f t="shared" si="267"/>
        <v>MiMA</v>
      </c>
      <c r="C1835" s="1" t="s">
        <v>67</v>
      </c>
      <c r="D1835" s="1" t="s">
        <v>41</v>
      </c>
      <c r="E1835" s="3">
        <v>1733876</v>
      </c>
      <c r="F1835" s="1">
        <v>2584.0180327868802</v>
      </c>
      <c r="M1835" s="1">
        <v>671</v>
      </c>
      <c r="Q1835" s="1" t="s">
        <v>42</v>
      </c>
      <c r="S1835" s="1" t="s">
        <v>42</v>
      </c>
      <c r="T1835" s="1" t="s">
        <v>153</v>
      </c>
      <c r="AA1835" s="1">
        <v>1733876.1</v>
      </c>
      <c r="AB1835" s="1" t="s">
        <v>1597</v>
      </c>
      <c r="AC1835" s="5">
        <v>42936</v>
      </c>
      <c r="AF1835" s="1">
        <v>10036</v>
      </c>
      <c r="AI1835" s="1" t="s">
        <v>1450</v>
      </c>
      <c r="AJ1835" s="1">
        <v>2012</v>
      </c>
      <c r="AK1835" s="1" t="s">
        <v>49</v>
      </c>
      <c r="AL1835" s="1">
        <v>943</v>
      </c>
    </row>
    <row r="1836" spans="1:38" x14ac:dyDescent="0.2">
      <c r="A1836" s="2" t="str">
        <f>HYPERLINK("https://www.compass.com/listing/450-west-42nd-street-unit-51g-manhattan-ny-10036/29388991170197777/","450 W 42nd St, Unit 51G")</f>
        <v>450 W 42nd St, Unit 51G</v>
      </c>
      <c r="B1836" s="2" t="str">
        <f t="shared" si="267"/>
        <v>MiMA</v>
      </c>
      <c r="C1836" s="1" t="s">
        <v>67</v>
      </c>
      <c r="D1836" s="1" t="s">
        <v>41</v>
      </c>
      <c r="E1836" s="3">
        <v>2077230</v>
      </c>
      <c r="F1836" s="1">
        <v>2690.7124352331598</v>
      </c>
      <c r="M1836" s="1">
        <v>772</v>
      </c>
      <c r="Q1836" s="1" t="s">
        <v>42</v>
      </c>
      <c r="S1836" s="1" t="s">
        <v>42</v>
      </c>
      <c r="T1836" s="1" t="s">
        <v>153</v>
      </c>
      <c r="AA1836" s="1">
        <v>2077230</v>
      </c>
      <c r="AB1836" s="1" t="s">
        <v>1598</v>
      </c>
      <c r="AC1836" s="5">
        <v>42996</v>
      </c>
      <c r="AF1836" s="1">
        <v>10036</v>
      </c>
      <c r="AI1836" s="1" t="s">
        <v>1450</v>
      </c>
      <c r="AJ1836" s="1">
        <v>2012</v>
      </c>
      <c r="AK1836" s="1" t="s">
        <v>49</v>
      </c>
      <c r="AL1836" s="1">
        <v>943</v>
      </c>
    </row>
    <row r="1837" spans="1:38" x14ac:dyDescent="0.2">
      <c r="A1837" s="2" t="str">
        <f>HYPERLINK("https://www.compass.com/listing/450-west-42nd-street-unit-51h-manhattan-ny-10036/29388991505674561/","450 W 42nd St, Unit 51H")</f>
        <v>450 W 42nd St, Unit 51H</v>
      </c>
      <c r="B1837" s="2" t="str">
        <f t="shared" si="267"/>
        <v>MiMA</v>
      </c>
      <c r="C1837" s="1" t="s">
        <v>67</v>
      </c>
      <c r="D1837" s="1" t="s">
        <v>41</v>
      </c>
      <c r="E1837" s="3">
        <v>1353152</v>
      </c>
      <c r="F1837" s="1">
        <v>2373.9516315789401</v>
      </c>
      <c r="M1837" s="1">
        <v>570</v>
      </c>
      <c r="Q1837" s="1" t="s">
        <v>42</v>
      </c>
      <c r="S1837" s="1" t="s">
        <v>42</v>
      </c>
      <c r="T1837" s="1" t="s">
        <v>153</v>
      </c>
      <c r="AA1837" s="1">
        <v>1353152.43</v>
      </c>
      <c r="AB1837" s="1" t="s">
        <v>1599</v>
      </c>
      <c r="AC1837" s="5">
        <v>42915</v>
      </c>
      <c r="AF1837" s="1">
        <v>10036</v>
      </c>
      <c r="AI1837" s="1" t="s">
        <v>1450</v>
      </c>
      <c r="AJ1837" s="1">
        <v>2012</v>
      </c>
      <c r="AK1837" s="1" t="s">
        <v>49</v>
      </c>
      <c r="AL1837" s="1">
        <v>943</v>
      </c>
    </row>
    <row r="1838" spans="1:38" x14ac:dyDescent="0.2">
      <c r="A1838" s="2" t="str">
        <f>HYPERLINK("https://www.compass.com/listing/450-west-42nd-street-unit-53f-manhattan-ny-10036/29388991782556161/","450 W 42nd St, Unit 53F")</f>
        <v>450 W 42nd St, Unit 53F</v>
      </c>
      <c r="B1838" s="2" t="str">
        <f t="shared" si="267"/>
        <v>MiMA</v>
      </c>
      <c r="C1838" s="1" t="s">
        <v>67</v>
      </c>
      <c r="D1838" s="1" t="s">
        <v>41</v>
      </c>
      <c r="E1838" s="3">
        <v>1797619</v>
      </c>
      <c r="F1838" s="1">
        <v>2679.0142324888202</v>
      </c>
      <c r="M1838" s="1">
        <v>671</v>
      </c>
      <c r="Q1838" s="1" t="s">
        <v>42</v>
      </c>
      <c r="S1838" s="1" t="s">
        <v>42</v>
      </c>
      <c r="T1838" s="1" t="s">
        <v>153</v>
      </c>
      <c r="AA1838" s="1">
        <v>1797618.55</v>
      </c>
      <c r="AB1838" s="1" t="s">
        <v>1600</v>
      </c>
      <c r="AC1838" s="5">
        <v>42879</v>
      </c>
      <c r="AF1838" s="1">
        <v>10036</v>
      </c>
      <c r="AI1838" s="1" t="s">
        <v>1450</v>
      </c>
      <c r="AJ1838" s="1">
        <v>2012</v>
      </c>
      <c r="AK1838" s="1" t="s">
        <v>49</v>
      </c>
      <c r="AL1838" s="1">
        <v>943</v>
      </c>
    </row>
    <row r="1839" spans="1:38" x14ac:dyDescent="0.2">
      <c r="A1839" s="2" t="str">
        <f>HYPERLINK("https://www.compass.com/listing/450-west-42nd-street-unit-53g-manhattan-ny-10036/29388992059390241/","450 W 42nd St, Unit 53G")</f>
        <v>450 W 42nd St, Unit 53G</v>
      </c>
      <c r="B1839" s="2" t="str">
        <f t="shared" si="267"/>
        <v>MiMA</v>
      </c>
      <c r="C1839" s="1" t="s">
        <v>67</v>
      </c>
      <c r="D1839" s="1" t="s">
        <v>41</v>
      </c>
      <c r="E1839" s="3">
        <v>2189238</v>
      </c>
      <c r="F1839" s="1">
        <v>2835.79987046632</v>
      </c>
      <c r="M1839" s="1">
        <v>772</v>
      </c>
      <c r="Q1839" s="1" t="s">
        <v>42</v>
      </c>
      <c r="S1839" s="1" t="s">
        <v>42</v>
      </c>
      <c r="T1839" s="1" t="s">
        <v>153</v>
      </c>
      <c r="AA1839" s="1">
        <v>2189237.5</v>
      </c>
      <c r="AB1839" s="1" t="s">
        <v>1601</v>
      </c>
      <c r="AC1839" s="5">
        <v>42908</v>
      </c>
      <c r="AF1839" s="1">
        <v>10036</v>
      </c>
      <c r="AI1839" s="1" t="s">
        <v>1450</v>
      </c>
      <c r="AJ1839" s="1">
        <v>2012</v>
      </c>
      <c r="AK1839" s="1" t="s">
        <v>49</v>
      </c>
      <c r="AL1839" s="1">
        <v>943</v>
      </c>
    </row>
    <row r="1840" spans="1:38" x14ac:dyDescent="0.2">
      <c r="A1840" s="2" t="str">
        <f>HYPERLINK("https://www.compass.com/listing/450-west-42nd-street-unit-54h-manhattan-ny-10036/29388992378089809/","450 W 42nd St, Unit 54H")</f>
        <v>450 W 42nd St, Unit 54H</v>
      </c>
      <c r="B1840" s="2" t="str">
        <f t="shared" si="267"/>
        <v>MiMA</v>
      </c>
      <c r="C1840" s="1" t="s">
        <v>67</v>
      </c>
      <c r="D1840" s="1" t="s">
        <v>41</v>
      </c>
      <c r="E1840" s="3">
        <v>1387060</v>
      </c>
      <c r="F1840" s="1">
        <v>2433.4388596491199</v>
      </c>
      <c r="M1840" s="1">
        <v>570</v>
      </c>
      <c r="Q1840" s="1" t="s">
        <v>42</v>
      </c>
      <c r="S1840" s="1" t="s">
        <v>42</v>
      </c>
      <c r="T1840" s="1" t="s">
        <v>153</v>
      </c>
      <c r="AA1840" s="1">
        <v>1387060.15</v>
      </c>
      <c r="AB1840" s="1" t="s">
        <v>1602</v>
      </c>
      <c r="AC1840" s="5">
        <v>42880</v>
      </c>
      <c r="AF1840" s="1">
        <v>10036</v>
      </c>
      <c r="AI1840" s="1" t="s">
        <v>1450</v>
      </c>
      <c r="AJ1840" s="1">
        <v>2012</v>
      </c>
      <c r="AK1840" s="1" t="s">
        <v>49</v>
      </c>
      <c r="AL1840" s="1">
        <v>943</v>
      </c>
    </row>
    <row r="1841" spans="1:38" x14ac:dyDescent="0.2">
      <c r="A1841" s="2" t="str">
        <f>HYPERLINK("https://www.compass.com/listing/450-west-42nd-street-unit-54m-manhattan-ny-10036/29388992663360017/","450 W 42nd St, Unit 54M")</f>
        <v>450 W 42nd St, Unit 54M</v>
      </c>
      <c r="B1841" s="2" t="str">
        <f t="shared" si="267"/>
        <v>MiMA</v>
      </c>
      <c r="C1841" s="1" t="s">
        <v>67</v>
      </c>
      <c r="D1841" s="1" t="s">
        <v>41</v>
      </c>
      <c r="E1841" s="3">
        <v>2128143</v>
      </c>
      <c r="F1841" s="1">
        <v>2598.4645909645901</v>
      </c>
      <c r="M1841" s="1">
        <v>819</v>
      </c>
      <c r="Q1841" s="1" t="s">
        <v>42</v>
      </c>
      <c r="S1841" s="1" t="s">
        <v>42</v>
      </c>
      <c r="T1841" s="1" t="s">
        <v>153</v>
      </c>
      <c r="AA1841" s="1">
        <v>2128142.5</v>
      </c>
      <c r="AB1841" s="1" t="s">
        <v>1603</v>
      </c>
      <c r="AC1841" s="5">
        <v>42943</v>
      </c>
      <c r="AF1841" s="1">
        <v>10036</v>
      </c>
      <c r="AI1841" s="1" t="s">
        <v>1450</v>
      </c>
      <c r="AJ1841" s="1">
        <v>2012</v>
      </c>
      <c r="AK1841" s="1" t="s">
        <v>49</v>
      </c>
      <c r="AL1841" s="1">
        <v>943</v>
      </c>
    </row>
    <row r="1842" spans="1:38" x14ac:dyDescent="0.2">
      <c r="A1842" s="2" t="str">
        <f>HYPERLINK("https://www.compass.com/listing/450-west-42nd-street-unit-54n-manhattan-ny-10036/29388992931805489/","450 W 42nd St, Unit 54N")</f>
        <v>450 W 42nd St, Unit 54N</v>
      </c>
      <c r="B1842" s="2" t="str">
        <f t="shared" si="267"/>
        <v>MiMA</v>
      </c>
      <c r="C1842" s="1" t="s">
        <v>67</v>
      </c>
      <c r="D1842" s="1" t="s">
        <v>41</v>
      </c>
      <c r="E1842" s="3">
        <v>2236072</v>
      </c>
      <c r="F1842" s="1">
        <v>2506.80667040358</v>
      </c>
      <c r="M1842" s="1">
        <v>892</v>
      </c>
      <c r="Q1842" s="1" t="s">
        <v>42</v>
      </c>
      <c r="S1842" s="1" t="s">
        <v>42</v>
      </c>
      <c r="T1842" s="1" t="s">
        <v>153</v>
      </c>
      <c r="AA1842" s="1">
        <v>2236071.5499999998</v>
      </c>
      <c r="AB1842" s="1" t="s">
        <v>1604</v>
      </c>
      <c r="AC1842" s="5">
        <v>42860</v>
      </c>
      <c r="AF1842" s="1">
        <v>10036</v>
      </c>
      <c r="AI1842" s="1" t="s">
        <v>1450</v>
      </c>
      <c r="AJ1842" s="1">
        <v>2012</v>
      </c>
      <c r="AK1842" s="1" t="s">
        <v>49</v>
      </c>
      <c r="AL1842" s="1">
        <v>943</v>
      </c>
    </row>
    <row r="1843" spans="1:38" x14ac:dyDescent="0.2">
      <c r="A1843" s="2" t="str">
        <f>HYPERLINK("https://www.compass.com/listing/450-west-42nd-street-unit-55a-manhattan-ny-10036/29388993267282273/","450 W 42nd St, Unit 55A")</f>
        <v>450 W 42nd St, Unit 55A</v>
      </c>
      <c r="B1843" s="2" t="str">
        <f t="shared" si="267"/>
        <v>MiMA</v>
      </c>
      <c r="C1843" s="1" t="s">
        <v>67</v>
      </c>
      <c r="D1843" s="1" t="s">
        <v>41</v>
      </c>
      <c r="E1843" s="3">
        <v>1374638</v>
      </c>
      <c r="F1843" s="1">
        <v>2349.8076923076901</v>
      </c>
      <c r="M1843" s="1">
        <v>585</v>
      </c>
      <c r="Q1843" s="1" t="s">
        <v>42</v>
      </c>
      <c r="S1843" s="1" t="s">
        <v>42</v>
      </c>
      <c r="T1843" s="1" t="s">
        <v>153</v>
      </c>
      <c r="AA1843" s="1">
        <v>1374637.5</v>
      </c>
      <c r="AB1843" s="1" t="s">
        <v>1605</v>
      </c>
      <c r="AC1843" s="5">
        <v>42930</v>
      </c>
      <c r="AF1843" s="1">
        <v>10036</v>
      </c>
      <c r="AI1843" s="1" t="s">
        <v>1450</v>
      </c>
      <c r="AJ1843" s="1">
        <v>2012</v>
      </c>
      <c r="AK1843" s="1" t="s">
        <v>49</v>
      </c>
      <c r="AL1843" s="1">
        <v>943</v>
      </c>
    </row>
    <row r="1844" spans="1:38" x14ac:dyDescent="0.2">
      <c r="A1844" s="2" t="str">
        <f>HYPERLINK("https://www.compass.com/listing/450-west-42nd-street-unit-55l-manhattan-ny-10036/29388993854552385/","450 W 42nd St, Unit 55L")</f>
        <v>450 W 42nd St, Unit 55L</v>
      </c>
      <c r="B1844" s="2" t="str">
        <f t="shared" si="267"/>
        <v>MiMA</v>
      </c>
      <c r="C1844" s="1" t="s">
        <v>67</v>
      </c>
      <c r="D1844" s="1" t="s">
        <v>41</v>
      </c>
      <c r="E1844" s="3">
        <v>1751390</v>
      </c>
      <c r="F1844" s="1">
        <v>2519.98561151079</v>
      </c>
      <c r="M1844" s="1">
        <v>695</v>
      </c>
      <c r="Q1844" s="1" t="s">
        <v>42</v>
      </c>
      <c r="S1844" s="1" t="s">
        <v>42</v>
      </c>
      <c r="T1844" s="1" t="s">
        <v>153</v>
      </c>
      <c r="AA1844" s="1">
        <v>1751390</v>
      </c>
      <c r="AB1844" s="1" t="s">
        <v>1606</v>
      </c>
      <c r="AC1844" s="5">
        <v>42935</v>
      </c>
      <c r="AF1844" s="1">
        <v>10036</v>
      </c>
      <c r="AI1844" s="1" t="s">
        <v>1450</v>
      </c>
      <c r="AJ1844" s="1">
        <v>2012</v>
      </c>
      <c r="AK1844" s="1" t="s">
        <v>49</v>
      </c>
      <c r="AL1844" s="1">
        <v>943</v>
      </c>
    </row>
    <row r="1845" spans="1:38" x14ac:dyDescent="0.2">
      <c r="A1845" s="2" t="str">
        <f>HYPERLINK("https://www.compass.com/listing/450-west-42nd-street-unit-55n-manhattan-ny-10036/29388994190029169/","450 W 42nd St, Unit 55N")</f>
        <v>450 W 42nd St, Unit 55N</v>
      </c>
      <c r="B1845" s="2" t="str">
        <f t="shared" si="267"/>
        <v>MiMA</v>
      </c>
      <c r="C1845" s="1" t="s">
        <v>67</v>
      </c>
      <c r="D1845" s="1" t="s">
        <v>41</v>
      </c>
      <c r="E1845" s="3">
        <v>2231000</v>
      </c>
      <c r="F1845" s="1">
        <v>2501.1210762331798</v>
      </c>
      <c r="M1845" s="1">
        <v>892</v>
      </c>
      <c r="Q1845" s="1" t="s">
        <v>42</v>
      </c>
      <c r="S1845" s="1" t="s">
        <v>42</v>
      </c>
      <c r="T1845" s="1" t="s">
        <v>153</v>
      </c>
      <c r="AA1845" s="1">
        <v>2231000</v>
      </c>
      <c r="AB1845" s="1" t="s">
        <v>1607</v>
      </c>
      <c r="AC1845" s="5">
        <v>43186</v>
      </c>
      <c r="AF1845" s="1">
        <v>10036</v>
      </c>
      <c r="AI1845" s="1" t="s">
        <v>1450</v>
      </c>
      <c r="AJ1845" s="1">
        <v>2012</v>
      </c>
      <c r="AK1845" s="1" t="s">
        <v>49</v>
      </c>
      <c r="AL1845" s="1">
        <v>943</v>
      </c>
    </row>
    <row r="1846" spans="1:38" x14ac:dyDescent="0.2">
      <c r="A1846" s="2" t="str">
        <f>HYPERLINK("https://www.compass.com/listing/450-west-42nd-street-unit-56a-manhattan-ny-10036/29388994466910769/","450 W 42nd St, Unit 56A")</f>
        <v>450 W 42nd St, Unit 56A</v>
      </c>
      <c r="B1846" s="2" t="str">
        <f t="shared" si="267"/>
        <v>MiMA</v>
      </c>
      <c r="C1846" s="1" t="s">
        <v>67</v>
      </c>
      <c r="D1846" s="1" t="s">
        <v>41</v>
      </c>
      <c r="E1846" s="3">
        <v>1422292</v>
      </c>
      <c r="F1846" s="1">
        <v>2431.2676923076901</v>
      </c>
      <c r="M1846" s="1">
        <v>585</v>
      </c>
      <c r="Q1846" s="1" t="s">
        <v>42</v>
      </c>
      <c r="S1846" s="1" t="s">
        <v>42</v>
      </c>
      <c r="T1846" s="1" t="s">
        <v>153</v>
      </c>
      <c r="AA1846" s="1">
        <v>1422291.6</v>
      </c>
      <c r="AB1846" s="1" t="s">
        <v>1608</v>
      </c>
      <c r="AC1846" s="5">
        <v>42975</v>
      </c>
      <c r="AF1846" s="1">
        <v>10036</v>
      </c>
      <c r="AI1846" s="1" t="s">
        <v>1450</v>
      </c>
      <c r="AJ1846" s="1">
        <v>2012</v>
      </c>
      <c r="AK1846" s="1" t="s">
        <v>49</v>
      </c>
      <c r="AL1846" s="1">
        <v>943</v>
      </c>
    </row>
    <row r="1847" spans="1:38" x14ac:dyDescent="0.2">
      <c r="A1847" s="2" t="str">
        <f>HYPERLINK("https://www.compass.com/listing/450-west-42nd-street-unit-56g-manhattan-ny-10036/29388994752133457/","450 W 42nd St, Unit 56G")</f>
        <v>450 W 42nd St, Unit 56G</v>
      </c>
      <c r="B1847" s="2" t="str">
        <f t="shared" si="267"/>
        <v>MiMA</v>
      </c>
      <c r="C1847" s="1" t="s">
        <v>67</v>
      </c>
      <c r="D1847" s="1" t="s">
        <v>41</v>
      </c>
      <c r="E1847" s="3">
        <v>2159708</v>
      </c>
      <c r="F1847" s="1">
        <v>2797.5495466321199</v>
      </c>
      <c r="M1847" s="1">
        <v>772</v>
      </c>
      <c r="Q1847" s="1" t="s">
        <v>42</v>
      </c>
      <c r="S1847" s="1" t="s">
        <v>42</v>
      </c>
      <c r="T1847" s="1" t="s">
        <v>153</v>
      </c>
      <c r="AA1847" s="1">
        <v>2159708.25</v>
      </c>
      <c r="AB1847" s="1" t="s">
        <v>1609</v>
      </c>
      <c r="AC1847" s="5">
        <v>42943</v>
      </c>
      <c r="AF1847" s="1">
        <v>10036</v>
      </c>
      <c r="AI1847" s="1" t="s">
        <v>1450</v>
      </c>
      <c r="AJ1847" s="1">
        <v>2012</v>
      </c>
      <c r="AK1847" s="1" t="s">
        <v>49</v>
      </c>
      <c r="AL1847" s="1">
        <v>943</v>
      </c>
    </row>
    <row r="1848" spans="1:38" x14ac:dyDescent="0.2">
      <c r="A1848" s="2" t="str">
        <f>HYPERLINK("https://www.compass.com/listing/450-west-42nd-street-unit-56h-manhattan-ny-10036/29388995104387457/","450 W 42nd St, Unit 56H")</f>
        <v>450 W 42nd St, Unit 56H</v>
      </c>
      <c r="B1848" s="2" t="str">
        <f t="shared" si="267"/>
        <v>MiMA</v>
      </c>
      <c r="C1848" s="1" t="s">
        <v>67</v>
      </c>
      <c r="D1848" s="1" t="s">
        <v>41</v>
      </c>
      <c r="E1848" s="3">
        <v>1425550</v>
      </c>
      <c r="F1848" s="1">
        <v>2500.9649122807</v>
      </c>
      <c r="M1848" s="1">
        <v>570</v>
      </c>
      <c r="Q1848" s="1" t="s">
        <v>42</v>
      </c>
      <c r="S1848" s="1" t="s">
        <v>42</v>
      </c>
      <c r="T1848" s="1" t="s">
        <v>153</v>
      </c>
      <c r="AA1848" s="1">
        <v>1425550</v>
      </c>
      <c r="AB1848" s="1" t="s">
        <v>1610</v>
      </c>
      <c r="AC1848" s="5">
        <v>43012</v>
      </c>
      <c r="AF1848" s="1">
        <v>10036</v>
      </c>
      <c r="AI1848" s="1" t="s">
        <v>1450</v>
      </c>
      <c r="AJ1848" s="1">
        <v>2012</v>
      </c>
      <c r="AK1848" s="1" t="s">
        <v>49</v>
      </c>
      <c r="AL1848" s="1">
        <v>943</v>
      </c>
    </row>
    <row r="1849" spans="1:38" x14ac:dyDescent="0.2">
      <c r="A1849" s="2" t="str">
        <f>HYPERLINK("https://www.compass.com/listing/450-west-42nd-street-unit-57d-manhattan-ny-10036/29388995381269057/","450 W 42nd St, Unit 57D")</f>
        <v>450 W 42nd St, Unit 57D</v>
      </c>
      <c r="B1849" s="2" t="str">
        <f t="shared" si="267"/>
        <v>MiMA</v>
      </c>
      <c r="C1849" s="1" t="s">
        <v>67</v>
      </c>
      <c r="D1849" s="1" t="s">
        <v>41</v>
      </c>
      <c r="E1849" s="3">
        <v>2932560</v>
      </c>
      <c r="F1849" s="1">
        <v>2620.69705093833</v>
      </c>
      <c r="M1849" s="4">
        <v>1119</v>
      </c>
      <c r="Q1849" s="1" t="s">
        <v>42</v>
      </c>
      <c r="S1849" s="1" t="s">
        <v>42</v>
      </c>
      <c r="T1849" s="1" t="s">
        <v>153</v>
      </c>
      <c r="AA1849" s="1">
        <v>2932560</v>
      </c>
      <c r="AB1849" s="1" t="s">
        <v>1611</v>
      </c>
      <c r="AC1849" s="5">
        <v>42986</v>
      </c>
      <c r="AF1849" s="1">
        <v>10036</v>
      </c>
      <c r="AI1849" s="1" t="s">
        <v>1450</v>
      </c>
      <c r="AJ1849" s="1">
        <v>2012</v>
      </c>
      <c r="AK1849" s="1" t="s">
        <v>49</v>
      </c>
      <c r="AL1849" s="1">
        <v>943</v>
      </c>
    </row>
    <row r="1850" spans="1:38" x14ac:dyDescent="0.2">
      <c r="A1850" s="2" t="str">
        <f>HYPERLINK("https://www.compass.com/listing/450-west-42nd-street-unit-57g-manhattan-ny-10036/29388995666491745/","450 W 42nd St, Unit 57G")</f>
        <v>450 W 42nd St, Unit 57G</v>
      </c>
      <c r="B1850" s="2" t="str">
        <f t="shared" si="267"/>
        <v>MiMA</v>
      </c>
      <c r="C1850" s="1" t="s">
        <v>67</v>
      </c>
      <c r="D1850" s="1" t="s">
        <v>41</v>
      </c>
      <c r="E1850" s="3">
        <v>2067048</v>
      </c>
      <c r="F1850" s="1">
        <v>2677.5226683937799</v>
      </c>
      <c r="M1850" s="1">
        <v>772</v>
      </c>
      <c r="Q1850" s="1" t="s">
        <v>42</v>
      </c>
      <c r="S1850" s="1" t="s">
        <v>42</v>
      </c>
      <c r="T1850" s="1" t="s">
        <v>153</v>
      </c>
      <c r="AA1850" s="1">
        <v>2067047.5</v>
      </c>
      <c r="AB1850" s="1" t="s">
        <v>1612</v>
      </c>
      <c r="AC1850" s="5">
        <v>42867</v>
      </c>
      <c r="AF1850" s="1">
        <v>10036</v>
      </c>
      <c r="AI1850" s="1" t="s">
        <v>1450</v>
      </c>
      <c r="AJ1850" s="1">
        <v>2012</v>
      </c>
      <c r="AK1850" s="1" t="s">
        <v>49</v>
      </c>
      <c r="AL1850" s="1">
        <v>943</v>
      </c>
    </row>
    <row r="1851" spans="1:38" x14ac:dyDescent="0.2">
      <c r="A1851" s="2" t="str">
        <f>HYPERLINK("https://www.compass.com/listing/450-west-42nd-street-unit-57h-manhattan-ny-10036/29388995993579921/","450 W 42nd St, Unit 57H")</f>
        <v>450 W 42nd St, Unit 57H</v>
      </c>
      <c r="B1851" s="2" t="str">
        <f t="shared" si="267"/>
        <v>MiMA</v>
      </c>
      <c r="C1851" s="1" t="s">
        <v>67</v>
      </c>
      <c r="D1851" s="1" t="s">
        <v>41</v>
      </c>
      <c r="E1851" s="3">
        <v>1435733</v>
      </c>
      <c r="F1851" s="1">
        <v>2518.8289473684199</v>
      </c>
      <c r="M1851" s="1">
        <v>570</v>
      </c>
      <c r="Q1851" s="1" t="s">
        <v>42</v>
      </c>
      <c r="S1851" s="1" t="s">
        <v>42</v>
      </c>
      <c r="T1851" s="1" t="s">
        <v>153</v>
      </c>
      <c r="AA1851" s="1">
        <v>1435732.5</v>
      </c>
      <c r="AB1851" s="1" t="s">
        <v>1613</v>
      </c>
      <c r="AC1851" s="5">
        <v>42926</v>
      </c>
      <c r="AF1851" s="1">
        <v>10036</v>
      </c>
      <c r="AI1851" s="1" t="s">
        <v>1450</v>
      </c>
      <c r="AJ1851" s="1">
        <v>2012</v>
      </c>
      <c r="AK1851" s="1" t="s">
        <v>49</v>
      </c>
      <c r="AL1851" s="1">
        <v>943</v>
      </c>
    </row>
    <row r="1852" spans="1:38" x14ac:dyDescent="0.2">
      <c r="A1852" s="2" t="str">
        <f>HYPERLINK("https://www.compass.com/listing/450-west-42nd-street-unit-57l-manhattan-ny-10036/29388996278850129/","450 W 42nd St, Unit 57L")</f>
        <v>450 W 42nd St, Unit 57L</v>
      </c>
      <c r="B1852" s="2" t="str">
        <f t="shared" si="267"/>
        <v>MiMA</v>
      </c>
      <c r="C1852" s="1" t="s">
        <v>67</v>
      </c>
      <c r="D1852" s="1" t="s">
        <v>41</v>
      </c>
      <c r="E1852" s="3">
        <v>1725147</v>
      </c>
      <c r="F1852" s="1">
        <v>2482.2262877697799</v>
      </c>
      <c r="M1852" s="1">
        <v>695</v>
      </c>
      <c r="Q1852" s="1" t="s">
        <v>42</v>
      </c>
      <c r="S1852" s="1" t="s">
        <v>42</v>
      </c>
      <c r="T1852" s="1" t="s">
        <v>153</v>
      </c>
      <c r="AA1852" s="1">
        <v>1725147.27</v>
      </c>
      <c r="AB1852" s="1" t="s">
        <v>1614</v>
      </c>
      <c r="AC1852" s="5">
        <v>42860</v>
      </c>
      <c r="AF1852" s="1">
        <v>10036</v>
      </c>
      <c r="AI1852" s="1" t="s">
        <v>1450</v>
      </c>
      <c r="AJ1852" s="1">
        <v>2012</v>
      </c>
      <c r="AK1852" s="1" t="s">
        <v>49</v>
      </c>
      <c r="AL1852" s="1">
        <v>943</v>
      </c>
    </row>
    <row r="1853" spans="1:38" x14ac:dyDescent="0.2">
      <c r="A1853" s="2" t="str">
        <f>HYPERLINK("https://www.compass.com/listing/450-west-42nd-street-unit-57n-manhattan-ny-10036/29388996597627249/","450 W 42nd St, Unit 57N")</f>
        <v>450 W 42nd St, Unit 57N</v>
      </c>
      <c r="B1853" s="2" t="str">
        <f t="shared" si="267"/>
        <v>MiMA</v>
      </c>
      <c r="C1853" s="1" t="s">
        <v>67</v>
      </c>
      <c r="D1853" s="1" t="s">
        <v>41</v>
      </c>
      <c r="E1853" s="3">
        <v>2301347</v>
      </c>
      <c r="F1853" s="1">
        <v>2579.9852354260001</v>
      </c>
      <c r="M1853" s="1">
        <v>892</v>
      </c>
      <c r="Q1853" s="1" t="s">
        <v>42</v>
      </c>
      <c r="S1853" s="1" t="s">
        <v>42</v>
      </c>
      <c r="T1853" s="1" t="s">
        <v>153</v>
      </c>
      <c r="AA1853" s="1">
        <v>2301346.83</v>
      </c>
      <c r="AB1853" s="1" t="s">
        <v>1615</v>
      </c>
      <c r="AC1853" s="5">
        <v>43066</v>
      </c>
      <c r="AF1853" s="1">
        <v>10036</v>
      </c>
      <c r="AI1853" s="1" t="s">
        <v>1450</v>
      </c>
      <c r="AJ1853" s="1">
        <v>2012</v>
      </c>
      <c r="AK1853" s="1" t="s">
        <v>49</v>
      </c>
      <c r="AL1853" s="1">
        <v>943</v>
      </c>
    </row>
    <row r="1854" spans="1:38" x14ac:dyDescent="0.2">
      <c r="A1854" s="2" t="str">
        <f>HYPERLINK("https://www.compass.com/listing/450-west-42nd-street-unit-58c-manhattan-ny-10036/29388996966658465/","450 W 42nd St, Unit 58C")</f>
        <v>450 W 42nd St, Unit 58C</v>
      </c>
      <c r="B1854" s="2" t="str">
        <f t="shared" si="267"/>
        <v>MiMA</v>
      </c>
      <c r="C1854" s="1" t="s">
        <v>67</v>
      </c>
      <c r="D1854" s="1" t="s">
        <v>41</v>
      </c>
      <c r="E1854" s="3">
        <v>2755690</v>
      </c>
      <c r="F1854" s="1">
        <v>2761.2124048096098</v>
      </c>
      <c r="M1854" s="1">
        <v>998</v>
      </c>
      <c r="Q1854" s="1" t="s">
        <v>42</v>
      </c>
      <c r="S1854" s="1" t="s">
        <v>42</v>
      </c>
      <c r="T1854" s="1" t="s">
        <v>153</v>
      </c>
      <c r="AA1854" s="1">
        <v>2755689.98</v>
      </c>
      <c r="AB1854" s="1" t="s">
        <v>1616</v>
      </c>
      <c r="AC1854" s="5">
        <v>42958</v>
      </c>
      <c r="AF1854" s="1">
        <v>10036</v>
      </c>
      <c r="AI1854" s="1" t="s">
        <v>1450</v>
      </c>
      <c r="AJ1854" s="1">
        <v>2012</v>
      </c>
      <c r="AK1854" s="1" t="s">
        <v>49</v>
      </c>
      <c r="AL1854" s="1">
        <v>943</v>
      </c>
    </row>
    <row r="1855" spans="1:38" x14ac:dyDescent="0.2">
      <c r="A1855" s="2" t="str">
        <f>HYPERLINK("https://www.compass.com/listing/450-west-42nd-street-unit-58g-manhattan-ny-10036/29388997277094497/","450 W 42nd St, Unit 58G")</f>
        <v>450 W 42nd St, Unit 58G</v>
      </c>
      <c r="B1855" s="2" t="str">
        <f t="shared" si="267"/>
        <v>MiMA</v>
      </c>
      <c r="C1855" s="1" t="s">
        <v>67</v>
      </c>
      <c r="D1855" s="1" t="s">
        <v>41</v>
      </c>
      <c r="E1855" s="3">
        <v>2099004</v>
      </c>
      <c r="F1855" s="1">
        <v>2718.91709844559</v>
      </c>
      <c r="M1855" s="1">
        <v>772</v>
      </c>
      <c r="Q1855" s="1" t="s">
        <v>42</v>
      </c>
      <c r="S1855" s="1" t="s">
        <v>42</v>
      </c>
      <c r="T1855" s="1" t="s">
        <v>153</v>
      </c>
      <c r="AA1855" s="1">
        <v>2099004</v>
      </c>
      <c r="AB1855" s="1" t="s">
        <v>1617</v>
      </c>
      <c r="AC1855" s="5">
        <v>42867</v>
      </c>
      <c r="AF1855" s="1">
        <v>10036</v>
      </c>
      <c r="AI1855" s="1" t="s">
        <v>1450</v>
      </c>
      <c r="AJ1855" s="1">
        <v>2012</v>
      </c>
      <c r="AK1855" s="1" t="s">
        <v>49</v>
      </c>
      <c r="AL1855" s="1">
        <v>943</v>
      </c>
    </row>
    <row r="1856" spans="1:38" x14ac:dyDescent="0.2">
      <c r="A1856" s="2" t="str">
        <f>HYPERLINK("https://www.compass.com/listing/450-west-42nd-street-unit-58h-manhattan-ny-10036/29388997587483009/","450 W 42nd St, Unit 58H")</f>
        <v>450 W 42nd St, Unit 58H</v>
      </c>
      <c r="B1856" s="2" t="str">
        <f t="shared" si="267"/>
        <v>MiMA</v>
      </c>
      <c r="C1856" s="1" t="s">
        <v>67</v>
      </c>
      <c r="D1856" s="1" t="s">
        <v>41</v>
      </c>
      <c r="E1856" s="3">
        <v>1486645</v>
      </c>
      <c r="F1856" s="1">
        <v>2608.1491228070099</v>
      </c>
      <c r="M1856" s="1">
        <v>570</v>
      </c>
      <c r="Q1856" s="1" t="s">
        <v>42</v>
      </c>
      <c r="S1856" s="1" t="s">
        <v>42</v>
      </c>
      <c r="T1856" s="1" t="s">
        <v>153</v>
      </c>
      <c r="AA1856" s="1">
        <v>1486645</v>
      </c>
      <c r="AB1856" s="1" t="s">
        <v>1618</v>
      </c>
      <c r="AC1856" s="5">
        <v>42853</v>
      </c>
      <c r="AF1856" s="1">
        <v>10036</v>
      </c>
      <c r="AI1856" s="1" t="s">
        <v>1450</v>
      </c>
      <c r="AJ1856" s="1">
        <v>2012</v>
      </c>
      <c r="AK1856" s="1" t="s">
        <v>49</v>
      </c>
      <c r="AL1856" s="1">
        <v>943</v>
      </c>
    </row>
    <row r="1857" spans="1:38" x14ac:dyDescent="0.2">
      <c r="A1857" s="2" t="str">
        <f>HYPERLINK("https://www.compass.com/listing/450-west-42nd-street-unit-58k-manhattan-ny-10036/29388997914571185/","450 W 42nd St, Unit 58K")</f>
        <v>450 W 42nd St, Unit 58K</v>
      </c>
      <c r="B1857" s="2" t="str">
        <f t="shared" si="267"/>
        <v>MiMA</v>
      </c>
      <c r="C1857" s="1" t="s">
        <v>67</v>
      </c>
      <c r="D1857" s="1" t="s">
        <v>41</v>
      </c>
      <c r="E1857" s="3">
        <v>3462900</v>
      </c>
      <c r="F1857" s="1">
        <v>2750.5162827640902</v>
      </c>
      <c r="M1857" s="4">
        <v>1259</v>
      </c>
      <c r="Q1857" s="1" t="s">
        <v>42</v>
      </c>
      <c r="S1857" s="1" t="s">
        <v>42</v>
      </c>
      <c r="T1857" s="1" t="s">
        <v>153</v>
      </c>
      <c r="AA1857" s="1">
        <v>3462900</v>
      </c>
      <c r="AB1857" s="1" t="s">
        <v>1619</v>
      </c>
      <c r="AC1857" s="5">
        <v>43203</v>
      </c>
      <c r="AF1857" s="1">
        <v>10036</v>
      </c>
      <c r="AI1857" s="1" t="s">
        <v>1450</v>
      </c>
      <c r="AJ1857" s="1">
        <v>2012</v>
      </c>
      <c r="AK1857" s="1" t="s">
        <v>49</v>
      </c>
      <c r="AL1857" s="1">
        <v>943</v>
      </c>
    </row>
    <row r="1858" spans="1:38" x14ac:dyDescent="0.2">
      <c r="A1858" s="2" t="str">
        <f>HYPERLINK("https://www.compass.com/listing/450-west-42nd-street-unit-58n-manhattan-ny-10036/29388998233395825/","450 W 42nd St, Unit 58N")</f>
        <v>450 W 42nd St, Unit 58N</v>
      </c>
      <c r="B1858" s="2" t="str">
        <f t="shared" si="267"/>
        <v>MiMA</v>
      </c>
      <c r="C1858" s="1" t="s">
        <v>67</v>
      </c>
      <c r="D1858" s="1" t="s">
        <v>41</v>
      </c>
      <c r="E1858" s="3">
        <v>2380363</v>
      </c>
      <c r="F1858" s="1">
        <v>2668.5684192825101</v>
      </c>
      <c r="M1858" s="1">
        <v>892</v>
      </c>
      <c r="Q1858" s="1" t="s">
        <v>42</v>
      </c>
      <c r="S1858" s="1" t="s">
        <v>42</v>
      </c>
      <c r="T1858" s="1" t="s">
        <v>153</v>
      </c>
      <c r="AA1858" s="1">
        <v>2380363.0299999998</v>
      </c>
      <c r="AB1858" s="1" t="s">
        <v>1620</v>
      </c>
      <c r="AC1858" s="5">
        <v>43056</v>
      </c>
      <c r="AF1858" s="1">
        <v>10036</v>
      </c>
      <c r="AI1858" s="1" t="s">
        <v>1450</v>
      </c>
      <c r="AJ1858" s="1">
        <v>2012</v>
      </c>
      <c r="AK1858" s="1" t="s">
        <v>49</v>
      </c>
      <c r="AL1858" s="1">
        <v>943</v>
      </c>
    </row>
    <row r="1859" spans="1:38" x14ac:dyDescent="0.2">
      <c r="A1859" s="2" t="str">
        <f>HYPERLINK("https://www.compass.com/listing/450-west-42nd-street-unit-ph4g-manhattan-ny-10036/29388998518618513/","450 W 42nd St, Unit PH4G")</f>
        <v>450 W 42nd St, Unit PH4G</v>
      </c>
      <c r="B1859" s="2" t="str">
        <f t="shared" si="267"/>
        <v>MiMA</v>
      </c>
      <c r="C1859" s="1" t="s">
        <v>67</v>
      </c>
      <c r="D1859" s="1" t="s">
        <v>41</v>
      </c>
      <c r="E1859" s="3">
        <v>2093929</v>
      </c>
      <c r="F1859" s="1">
        <v>2712.34365284974</v>
      </c>
      <c r="M1859" s="1">
        <v>772</v>
      </c>
      <c r="Q1859" s="1" t="s">
        <v>42</v>
      </c>
      <c r="S1859" s="1" t="s">
        <v>42</v>
      </c>
      <c r="T1859" s="1" t="s">
        <v>153</v>
      </c>
      <c r="AA1859" s="1">
        <v>2093929.3</v>
      </c>
      <c r="AB1859" s="1" t="s">
        <v>1621</v>
      </c>
      <c r="AC1859" s="5">
        <v>42885</v>
      </c>
      <c r="AF1859" s="1">
        <v>10036</v>
      </c>
      <c r="AI1859" s="1" t="s">
        <v>1450</v>
      </c>
      <c r="AJ1859" s="1">
        <v>2012</v>
      </c>
      <c r="AK1859" s="1" t="s">
        <v>49</v>
      </c>
      <c r="AL1859" s="1">
        <v>943</v>
      </c>
    </row>
    <row r="1860" spans="1:38" x14ac:dyDescent="0.2">
      <c r="A1860" s="2" t="str">
        <f>HYPERLINK("https://www.compass.com/listing/450-west-42nd-street-unit-ph4h-manhattan-ny-10036/29388998854095297/","450 W 42nd St, Unit PH4H")</f>
        <v>450 W 42nd St, Unit PH4H</v>
      </c>
      <c r="B1860" s="2" t="str">
        <f t="shared" si="267"/>
        <v>MiMA</v>
      </c>
      <c r="C1860" s="1" t="s">
        <v>67</v>
      </c>
      <c r="D1860" s="1" t="s">
        <v>41</v>
      </c>
      <c r="E1860" s="3">
        <v>1451923</v>
      </c>
      <c r="F1860" s="1">
        <v>2547.23277192982</v>
      </c>
      <c r="M1860" s="1">
        <v>570</v>
      </c>
      <c r="Q1860" s="1" t="s">
        <v>42</v>
      </c>
      <c r="S1860" s="1" t="s">
        <v>42</v>
      </c>
      <c r="T1860" s="1" t="s">
        <v>153</v>
      </c>
      <c r="AA1860" s="1">
        <v>1451922.68</v>
      </c>
      <c r="AB1860" s="1" t="s">
        <v>1622</v>
      </c>
      <c r="AC1860" s="5">
        <v>42881</v>
      </c>
      <c r="AF1860" s="1">
        <v>10036</v>
      </c>
      <c r="AI1860" s="1" t="s">
        <v>1450</v>
      </c>
      <c r="AJ1860" s="1">
        <v>2012</v>
      </c>
      <c r="AK1860" s="1" t="s">
        <v>49</v>
      </c>
      <c r="AL1860" s="1">
        <v>943</v>
      </c>
    </row>
    <row r="1861" spans="1:38" x14ac:dyDescent="0.2">
      <c r="A1861" s="2" t="str">
        <f>HYPERLINK("https://www.compass.com/listing/450-west-42nd-street-unit-ph3a-manhattan-ny-10036/29388999147754113/","450 W 42nd St, Unit PH3A")</f>
        <v>450 W 42nd St, Unit PH3A</v>
      </c>
      <c r="B1861" s="2" t="str">
        <f t="shared" si="267"/>
        <v>MiMA</v>
      </c>
      <c r="C1861" s="1" t="s">
        <v>67</v>
      </c>
      <c r="D1861" s="1" t="s">
        <v>41</v>
      </c>
      <c r="E1861" s="3">
        <v>1485830</v>
      </c>
      <c r="F1861" s="1">
        <v>2539.8810256410202</v>
      </c>
      <c r="M1861" s="1">
        <v>585</v>
      </c>
      <c r="Q1861" s="1" t="s">
        <v>42</v>
      </c>
      <c r="S1861" s="1" t="s">
        <v>42</v>
      </c>
      <c r="T1861" s="1" t="s">
        <v>153</v>
      </c>
      <c r="AA1861" s="1">
        <v>1485830.4</v>
      </c>
      <c r="AB1861" s="1" t="s">
        <v>1623</v>
      </c>
      <c r="AC1861" s="5">
        <v>43084</v>
      </c>
      <c r="AF1861" s="1">
        <v>10036</v>
      </c>
      <c r="AI1861" s="1" t="s">
        <v>1450</v>
      </c>
      <c r="AJ1861" s="1">
        <v>2012</v>
      </c>
      <c r="AK1861" s="1" t="s">
        <v>49</v>
      </c>
      <c r="AL1861" s="1">
        <v>943</v>
      </c>
    </row>
    <row r="1862" spans="1:38" x14ac:dyDescent="0.2">
      <c r="A1862" s="2" t="str">
        <f>HYPERLINK("https://www.compass.com/listing/450-west-42nd-street-unit-ph3h-manhattan-ny-10036/29388999474919841/","450 W 42nd St, Unit PH3H")</f>
        <v>450 W 42nd St, Unit PH3H</v>
      </c>
      <c r="B1862" s="2" t="str">
        <f t="shared" si="267"/>
        <v>MiMA</v>
      </c>
      <c r="C1862" s="1" t="s">
        <v>67</v>
      </c>
      <c r="D1862" s="1" t="s">
        <v>41</v>
      </c>
      <c r="E1862" s="3">
        <v>1461800</v>
      </c>
      <c r="F1862" s="1">
        <v>2564.5608771929801</v>
      </c>
      <c r="M1862" s="1">
        <v>570</v>
      </c>
      <c r="Q1862" s="1" t="s">
        <v>42</v>
      </c>
      <c r="S1862" s="1" t="s">
        <v>42</v>
      </c>
      <c r="T1862" s="1" t="s">
        <v>153</v>
      </c>
      <c r="AA1862" s="1">
        <v>1461799.7</v>
      </c>
      <c r="AB1862" s="1" t="s">
        <v>1624</v>
      </c>
      <c r="AC1862" s="5">
        <v>42908</v>
      </c>
      <c r="AF1862" s="1">
        <v>10036</v>
      </c>
      <c r="AI1862" s="1" t="s">
        <v>1450</v>
      </c>
      <c r="AJ1862" s="1">
        <v>2012</v>
      </c>
      <c r="AK1862" s="1" t="s">
        <v>49</v>
      </c>
      <c r="AL1862" s="1">
        <v>943</v>
      </c>
    </row>
    <row r="1863" spans="1:38" x14ac:dyDescent="0.2">
      <c r="A1863" s="2" t="str">
        <f>HYPERLINK("https://www.compass.com/listing/450-west-42nd-street-unit-ph3m-manhattan-ny-10036/29388999818785233/","450 W 42nd St, Unit PH3M")</f>
        <v>450 W 42nd St, Unit PH3M</v>
      </c>
      <c r="B1863" s="2" t="str">
        <f t="shared" si="267"/>
        <v>MiMA</v>
      </c>
      <c r="C1863" s="1" t="s">
        <v>67</v>
      </c>
      <c r="D1863" s="1" t="s">
        <v>41</v>
      </c>
      <c r="E1863" s="3">
        <v>3181600</v>
      </c>
      <c r="F1863" s="1">
        <v>2714.6757679180801</v>
      </c>
      <c r="M1863" s="4">
        <v>1172</v>
      </c>
      <c r="Q1863" s="1" t="s">
        <v>42</v>
      </c>
      <c r="S1863" s="1" t="s">
        <v>42</v>
      </c>
      <c r="T1863" s="1" t="s">
        <v>153</v>
      </c>
      <c r="AA1863" s="1">
        <v>3181600</v>
      </c>
      <c r="AB1863" s="1" t="s">
        <v>1625</v>
      </c>
      <c r="AC1863" s="5">
        <v>43143</v>
      </c>
      <c r="AF1863" s="1">
        <v>10036</v>
      </c>
      <c r="AI1863" s="1" t="s">
        <v>1450</v>
      </c>
      <c r="AJ1863" s="1">
        <v>2012</v>
      </c>
      <c r="AK1863" s="1" t="s">
        <v>49</v>
      </c>
      <c r="AL1863" s="1">
        <v>943</v>
      </c>
    </row>
    <row r="1864" spans="1:38" x14ac:dyDescent="0.2">
      <c r="A1864" s="2" t="str">
        <f>HYPERLINK("https://www.compass.com/listing/450-west-42nd-street-unit-ph3n-manhattan-ny-10036/29389000129221265/","450 W 42nd St, Unit PH3N")</f>
        <v>450 W 42nd St, Unit PH3N</v>
      </c>
      <c r="B1864" s="2" t="str">
        <f t="shared" si="267"/>
        <v>MiMA</v>
      </c>
      <c r="C1864" s="1" t="s">
        <v>67</v>
      </c>
      <c r="D1864" s="1" t="s">
        <v>41</v>
      </c>
      <c r="E1864" s="3">
        <v>2409994</v>
      </c>
      <c r="F1864" s="1">
        <v>2701.78710762331</v>
      </c>
      <c r="M1864" s="1">
        <v>892</v>
      </c>
      <c r="Q1864" s="1" t="s">
        <v>42</v>
      </c>
      <c r="S1864" s="1" t="s">
        <v>42</v>
      </c>
      <c r="T1864" s="1" t="s">
        <v>153</v>
      </c>
      <c r="AA1864" s="1">
        <v>2409994.1</v>
      </c>
      <c r="AB1864" s="1" t="s">
        <v>1626</v>
      </c>
      <c r="AC1864" s="5">
        <v>43042</v>
      </c>
      <c r="AF1864" s="1">
        <v>10036</v>
      </c>
      <c r="AI1864" s="1" t="s">
        <v>1450</v>
      </c>
      <c r="AJ1864" s="1">
        <v>2012</v>
      </c>
      <c r="AK1864" s="1" t="s">
        <v>49</v>
      </c>
      <c r="AL1864" s="1">
        <v>943</v>
      </c>
    </row>
    <row r="1865" spans="1:38" x14ac:dyDescent="0.2">
      <c r="A1865" s="2" t="str">
        <f>HYPERLINK("https://www.compass.com/listing/450-west-42nd-street-unit-ph2a-manhattan-ny-10036/29389000414443953/","450 W 42nd St, Unit PH2A")</f>
        <v>450 W 42nd St, Unit PH2A</v>
      </c>
      <c r="B1865" s="2" t="str">
        <f t="shared" si="267"/>
        <v>MiMA</v>
      </c>
      <c r="C1865" s="1" t="s">
        <v>67</v>
      </c>
      <c r="D1865" s="1" t="s">
        <v>41</v>
      </c>
      <c r="E1865" s="3">
        <v>1511186</v>
      </c>
      <c r="F1865" s="1">
        <v>2583.2246666666601</v>
      </c>
      <c r="M1865" s="1">
        <v>585</v>
      </c>
      <c r="Q1865" s="1" t="s">
        <v>42</v>
      </c>
      <c r="S1865" s="1" t="s">
        <v>42</v>
      </c>
      <c r="T1865" s="1" t="s">
        <v>153</v>
      </c>
      <c r="AA1865" s="1">
        <v>1511186.43</v>
      </c>
      <c r="AB1865" s="1" t="s">
        <v>1627</v>
      </c>
      <c r="AC1865" s="5">
        <v>42863</v>
      </c>
      <c r="AF1865" s="1">
        <v>10036</v>
      </c>
      <c r="AI1865" s="1" t="s">
        <v>1450</v>
      </c>
      <c r="AJ1865" s="1">
        <v>2012</v>
      </c>
      <c r="AK1865" s="1" t="s">
        <v>49</v>
      </c>
      <c r="AL1865" s="1">
        <v>943</v>
      </c>
    </row>
    <row r="1866" spans="1:38" x14ac:dyDescent="0.2">
      <c r="A1866" s="2" t="str">
        <f>HYPERLINK("https://www.compass.com/listing/450-west-42nd-street-unit-ph2h-manhattan-ny-10036/29389000749920737/","450 W 42nd St, Unit PH2H")</f>
        <v>450 W 42nd St, Unit PH2H</v>
      </c>
      <c r="B1866" s="2" t="str">
        <f t="shared" si="267"/>
        <v>MiMA</v>
      </c>
      <c r="C1866" s="1" t="s">
        <v>67</v>
      </c>
      <c r="D1866" s="1" t="s">
        <v>41</v>
      </c>
      <c r="E1866" s="3">
        <v>1517193</v>
      </c>
      <c r="F1866" s="1">
        <v>2661.7412280701701</v>
      </c>
      <c r="M1866" s="1">
        <v>570</v>
      </c>
      <c r="Q1866" s="1" t="s">
        <v>42</v>
      </c>
      <c r="S1866" s="1" t="s">
        <v>42</v>
      </c>
      <c r="T1866" s="1" t="s">
        <v>153</v>
      </c>
      <c r="AA1866" s="1">
        <v>1517192.5</v>
      </c>
      <c r="AB1866" s="1" t="s">
        <v>1628</v>
      </c>
      <c r="AC1866" s="5">
        <v>42873</v>
      </c>
      <c r="AF1866" s="1">
        <v>10036</v>
      </c>
      <c r="AI1866" s="1" t="s">
        <v>1450</v>
      </c>
      <c r="AJ1866" s="1">
        <v>2012</v>
      </c>
      <c r="AK1866" s="1" t="s">
        <v>49</v>
      </c>
      <c r="AL1866" s="1">
        <v>943</v>
      </c>
    </row>
    <row r="1867" spans="1:38" x14ac:dyDescent="0.2">
      <c r="A1867" s="2" t="str">
        <f>HYPERLINK("https://www.compass.com/listing/450-west-42nd-street-unit-ph2j-manhattan-ny-10036/29389001043579553/","450 W 42nd St, Unit PH2J")</f>
        <v>450 W 42nd St, Unit PH2J</v>
      </c>
      <c r="B1867" s="2" t="str">
        <f t="shared" si="267"/>
        <v>MiMA</v>
      </c>
      <c r="C1867" s="1" t="s">
        <v>67</v>
      </c>
      <c r="D1867" s="1" t="s">
        <v>41</v>
      </c>
      <c r="E1867" s="3">
        <v>3654499</v>
      </c>
      <c r="F1867" s="1">
        <v>3065.8550755033498</v>
      </c>
      <c r="M1867" s="4">
        <v>1192</v>
      </c>
      <c r="Q1867" s="1" t="s">
        <v>42</v>
      </c>
      <c r="S1867" s="1" t="s">
        <v>42</v>
      </c>
      <c r="T1867" s="1" t="s">
        <v>153</v>
      </c>
      <c r="AA1867" s="1">
        <v>3654499.25</v>
      </c>
      <c r="AB1867" s="1" t="s">
        <v>1629</v>
      </c>
      <c r="AC1867" s="5">
        <v>43059</v>
      </c>
      <c r="AF1867" s="1">
        <v>10036</v>
      </c>
      <c r="AI1867" s="1" t="s">
        <v>1450</v>
      </c>
      <c r="AJ1867" s="1">
        <v>2012</v>
      </c>
      <c r="AK1867" s="1" t="s">
        <v>49</v>
      </c>
      <c r="AL1867" s="1">
        <v>943</v>
      </c>
    </row>
    <row r="1868" spans="1:38" x14ac:dyDescent="0.2">
      <c r="A1868" s="2" t="str">
        <f>HYPERLINK("https://www.compass.com/listing/450-west-42nd-street-unit-ph1j-manhattan-ny-10036/29389001320413633/","450 W 42nd St, Unit PH1J")</f>
        <v>450 W 42nd St, Unit PH1J</v>
      </c>
      <c r="B1868" s="2" t="str">
        <f t="shared" si="267"/>
        <v>MiMA</v>
      </c>
      <c r="C1868" s="1" t="s">
        <v>67</v>
      </c>
      <c r="D1868" s="1" t="s">
        <v>41</v>
      </c>
      <c r="E1868" s="3">
        <v>3950810</v>
      </c>
      <c r="F1868" s="1">
        <v>3314.4379194630801</v>
      </c>
      <c r="M1868" s="4">
        <v>1192</v>
      </c>
      <c r="Q1868" s="1" t="s">
        <v>42</v>
      </c>
      <c r="S1868" s="1" t="s">
        <v>42</v>
      </c>
      <c r="T1868" s="1" t="s">
        <v>153</v>
      </c>
      <c r="AA1868" s="1">
        <v>3950810</v>
      </c>
      <c r="AB1868" s="1" t="s">
        <v>1630</v>
      </c>
      <c r="AC1868" s="5">
        <v>43038</v>
      </c>
      <c r="AF1868" s="1">
        <v>10036</v>
      </c>
      <c r="AI1868" s="1" t="s">
        <v>1450</v>
      </c>
      <c r="AJ1868" s="1">
        <v>2012</v>
      </c>
      <c r="AK1868" s="1" t="s">
        <v>49</v>
      </c>
      <c r="AL1868" s="1">
        <v>943</v>
      </c>
    </row>
    <row r="1869" spans="1:38" x14ac:dyDescent="0.2">
      <c r="A1869" s="2" t="str">
        <f>HYPERLINK("https://www.compass.com/listing/425-west-50th-street-unit-14d-manhattan-ny-10019/29389219784937953/","425 W 50th St, Unit 14D")</f>
        <v>425 W 50th St, Unit 14D</v>
      </c>
      <c r="B1869" s="2" t="str">
        <f>HYPERLINK("https://www.compass.com/building/stella-tower-manhattan-ny/281945855710262181/","Stella Tower")</f>
        <v>Stella Tower</v>
      </c>
      <c r="C1869" s="1" t="s">
        <v>67</v>
      </c>
      <c r="D1869" s="1" t="s">
        <v>41</v>
      </c>
      <c r="E1869" s="3">
        <v>1771755</v>
      </c>
      <c r="F1869" s="1">
        <v>1251.2394067796599</v>
      </c>
      <c r="G1869" s="1">
        <v>3</v>
      </c>
      <c r="H1869" s="1">
        <v>1</v>
      </c>
      <c r="I1869" s="1">
        <v>2</v>
      </c>
      <c r="J1869" s="1">
        <v>2</v>
      </c>
      <c r="M1869" s="4">
        <v>1416</v>
      </c>
      <c r="N1869" s="1">
        <v>1606</v>
      </c>
      <c r="O1869" s="1">
        <v>2589</v>
      </c>
      <c r="P1869" s="1">
        <v>983</v>
      </c>
      <c r="Q1869" s="1" t="s">
        <v>42</v>
      </c>
      <c r="S1869" s="1" t="s">
        <v>42</v>
      </c>
      <c r="T1869" s="1" t="s">
        <v>153</v>
      </c>
      <c r="U1869" s="1">
        <v>132</v>
      </c>
      <c r="V1869" s="5">
        <v>41993</v>
      </c>
      <c r="W1869" s="5">
        <v>41859</v>
      </c>
      <c r="X1869" s="1">
        <v>1740000</v>
      </c>
      <c r="Y1869" s="1">
        <v>1740000</v>
      </c>
      <c r="AA1869" s="1">
        <v>1771755</v>
      </c>
      <c r="AB1869" s="1" t="s">
        <v>1631</v>
      </c>
      <c r="AC1869" s="5">
        <v>42003</v>
      </c>
      <c r="AF1869" s="1">
        <v>10019</v>
      </c>
      <c r="AI1869" s="1" t="s">
        <v>45</v>
      </c>
      <c r="AJ1869" s="1">
        <v>1930</v>
      </c>
      <c r="AK1869" s="1" t="s">
        <v>46</v>
      </c>
      <c r="AL1869" s="1">
        <v>51</v>
      </c>
    </row>
    <row r="1870" spans="1:38" x14ac:dyDescent="0.2">
      <c r="A1870" s="2" t="str">
        <f>HYPERLINK("https://www.compass.com/listing/432-west-52nd-street-unit-gda-manhattan-ny-10019/29389232611109761/","432 W 52nd St, Unit GDA")</f>
        <v>432 W 52nd St, Unit GDA</v>
      </c>
      <c r="B1870" s="2" t="str">
        <f t="shared" ref="B1870:B1878" si="268">HYPERLINK("https://www.compass.com/building/432-w-52nd-st-manhattan-ny-10019/292847238378489941/","432 W 52nd St")</f>
        <v>432 W 52nd St</v>
      </c>
      <c r="C1870" s="1" t="s">
        <v>67</v>
      </c>
      <c r="D1870" s="1" t="s">
        <v>41</v>
      </c>
      <c r="E1870" s="3">
        <v>1775000</v>
      </c>
      <c r="F1870" s="1">
        <v>1220.7702888583201</v>
      </c>
      <c r="M1870" s="4">
        <v>1454</v>
      </c>
      <c r="Q1870" s="1" t="s">
        <v>42</v>
      </c>
      <c r="S1870" s="1" t="s">
        <v>42</v>
      </c>
      <c r="T1870" s="1" t="s">
        <v>153</v>
      </c>
      <c r="AA1870" s="1">
        <v>1775000</v>
      </c>
      <c r="AB1870" s="1" t="s">
        <v>1632</v>
      </c>
      <c r="AC1870" s="5">
        <v>42865</v>
      </c>
      <c r="AF1870" s="1">
        <v>10019</v>
      </c>
      <c r="AI1870" s="1" t="s">
        <v>55</v>
      </c>
      <c r="AJ1870" s="1">
        <v>1950</v>
      </c>
      <c r="AK1870" s="1" t="s">
        <v>121</v>
      </c>
      <c r="AL1870" s="1">
        <v>55</v>
      </c>
    </row>
    <row r="1871" spans="1:38" x14ac:dyDescent="0.2">
      <c r="A1871" s="2" t="str">
        <f>HYPERLINK("https://www.compass.com/listing/432-west-52nd-street-unit-gdb-manhattan-ny-10019/29389232896332529/","432 W 52nd St, Unit GDB")</f>
        <v>432 W 52nd St, Unit GDB</v>
      </c>
      <c r="B1871" s="2" t="str">
        <f t="shared" si="268"/>
        <v>432 W 52nd St</v>
      </c>
      <c r="C1871" s="1" t="s">
        <v>67</v>
      </c>
      <c r="D1871" s="1" t="s">
        <v>41</v>
      </c>
      <c r="E1871" s="3">
        <v>1725934</v>
      </c>
      <c r="F1871" s="1">
        <v>1353.67352941176</v>
      </c>
      <c r="M1871" s="4">
        <v>1275</v>
      </c>
      <c r="Q1871" s="1" t="s">
        <v>42</v>
      </c>
      <c r="S1871" s="1" t="s">
        <v>42</v>
      </c>
      <c r="T1871" s="1" t="s">
        <v>153</v>
      </c>
      <c r="AA1871" s="1">
        <v>1725933.75</v>
      </c>
      <c r="AB1871" s="1" t="s">
        <v>1633</v>
      </c>
      <c r="AC1871" s="5">
        <v>42235</v>
      </c>
      <c r="AF1871" s="1">
        <v>10019</v>
      </c>
      <c r="AI1871" s="1" t="s">
        <v>55</v>
      </c>
      <c r="AJ1871" s="1">
        <v>1950</v>
      </c>
      <c r="AK1871" s="1" t="s">
        <v>121</v>
      </c>
      <c r="AL1871" s="1">
        <v>55</v>
      </c>
    </row>
    <row r="1872" spans="1:38" x14ac:dyDescent="0.2">
      <c r="A1872" s="2" t="str">
        <f>HYPERLINK("https://www.compass.com/listing/432-west-52nd-street-unit-gdc-manhattan-ny-10019/29389233265363857/","432 W 52nd St, Unit GDC")</f>
        <v>432 W 52nd St, Unit GDC</v>
      </c>
      <c r="B1872" s="2" t="str">
        <f t="shared" si="268"/>
        <v>432 W 52nd St</v>
      </c>
      <c r="C1872" s="1" t="s">
        <v>67</v>
      </c>
      <c r="D1872" s="1" t="s">
        <v>41</v>
      </c>
      <c r="E1872" s="3">
        <v>1624109</v>
      </c>
      <c r="F1872" s="1">
        <v>1324.72165579119</v>
      </c>
      <c r="M1872" s="4">
        <v>1226</v>
      </c>
      <c r="Q1872" s="1" t="s">
        <v>42</v>
      </c>
      <c r="S1872" s="1" t="s">
        <v>42</v>
      </c>
      <c r="T1872" s="1" t="s">
        <v>153</v>
      </c>
      <c r="AA1872" s="1">
        <v>1624108.75</v>
      </c>
      <c r="AB1872" s="1" t="s">
        <v>1634</v>
      </c>
      <c r="AC1872" s="5">
        <v>42089</v>
      </c>
      <c r="AF1872" s="1">
        <v>10019</v>
      </c>
      <c r="AI1872" s="1" t="s">
        <v>55</v>
      </c>
      <c r="AJ1872" s="1">
        <v>1950</v>
      </c>
      <c r="AK1872" s="1" t="s">
        <v>121</v>
      </c>
      <c r="AL1872" s="1">
        <v>55</v>
      </c>
    </row>
    <row r="1873" spans="1:38" x14ac:dyDescent="0.2">
      <c r="A1873" s="2" t="str">
        <f>HYPERLINK("https://www.compass.com/listing/432-west-52nd-street-unit-gdd-manhattan-ny-10019/29389233559022481/","432 W 52nd St, Unit GDD")</f>
        <v>432 W 52nd St, Unit GDD</v>
      </c>
      <c r="B1873" s="2" t="str">
        <f t="shared" si="268"/>
        <v>432 W 52nd St</v>
      </c>
      <c r="C1873" s="1" t="s">
        <v>67</v>
      </c>
      <c r="D1873" s="1" t="s">
        <v>41</v>
      </c>
      <c r="E1873" s="3">
        <v>1950000</v>
      </c>
      <c r="F1873" s="1">
        <v>1310.4838709677399</v>
      </c>
      <c r="M1873" s="4">
        <v>1488</v>
      </c>
      <c r="Q1873" s="1" t="s">
        <v>42</v>
      </c>
      <c r="S1873" s="1" t="s">
        <v>42</v>
      </c>
      <c r="T1873" s="1" t="s">
        <v>153</v>
      </c>
      <c r="AA1873" s="1">
        <v>1950000</v>
      </c>
      <c r="AB1873" s="1" t="s">
        <v>1635</v>
      </c>
      <c r="AC1873" s="5">
        <v>42194</v>
      </c>
      <c r="AF1873" s="1">
        <v>10019</v>
      </c>
      <c r="AI1873" s="1" t="s">
        <v>55</v>
      </c>
      <c r="AJ1873" s="1">
        <v>1950</v>
      </c>
      <c r="AK1873" s="1" t="s">
        <v>121</v>
      </c>
      <c r="AL1873" s="1">
        <v>55</v>
      </c>
    </row>
    <row r="1874" spans="1:38" x14ac:dyDescent="0.2">
      <c r="A1874" s="2" t="str">
        <f>HYPERLINK("https://www.compass.com/listing/432-west-52nd-street-unit-gde-manhattan-ny-10019/29389233919742721/","432 W 52nd St, Unit GDE")</f>
        <v>432 W 52nd St, Unit GDE</v>
      </c>
      <c r="B1874" s="2" t="str">
        <f t="shared" si="268"/>
        <v>432 W 52nd St</v>
      </c>
      <c r="C1874" s="1" t="s">
        <v>67</v>
      </c>
      <c r="D1874" s="1" t="s">
        <v>41</v>
      </c>
      <c r="E1874" s="3">
        <v>646589</v>
      </c>
      <c r="F1874" s="1">
        <v>1358.3797268907499</v>
      </c>
      <c r="M1874" s="1">
        <v>476</v>
      </c>
      <c r="Q1874" s="1" t="s">
        <v>42</v>
      </c>
      <c r="S1874" s="1" t="s">
        <v>42</v>
      </c>
      <c r="T1874" s="1" t="s">
        <v>153</v>
      </c>
      <c r="AA1874" s="1">
        <v>646588.75</v>
      </c>
      <c r="AB1874" s="1" t="s">
        <v>1636</v>
      </c>
      <c r="AC1874" s="5">
        <v>42088</v>
      </c>
      <c r="AF1874" s="1">
        <v>10019</v>
      </c>
      <c r="AI1874" s="1" t="s">
        <v>55</v>
      </c>
      <c r="AJ1874" s="1">
        <v>1950</v>
      </c>
      <c r="AK1874" s="1" t="s">
        <v>121</v>
      </c>
      <c r="AL1874" s="1">
        <v>55</v>
      </c>
    </row>
    <row r="1875" spans="1:38" x14ac:dyDescent="0.2">
      <c r="A1875" s="2" t="str">
        <f>HYPERLINK("https://www.compass.com/listing/432-west-52nd-street-unit-gdf-manhattan-ny-10019/29389234255219617/","432 W 52nd St, Unit GDF")</f>
        <v>432 W 52nd St, Unit GDF</v>
      </c>
      <c r="B1875" s="2" t="str">
        <f t="shared" si="268"/>
        <v>432 W 52nd St</v>
      </c>
      <c r="C1875" s="1" t="s">
        <v>67</v>
      </c>
      <c r="D1875" s="1" t="s">
        <v>41</v>
      </c>
      <c r="E1875" s="3">
        <v>840056</v>
      </c>
      <c r="F1875" s="1">
        <v>619.51050884955703</v>
      </c>
      <c r="M1875" s="4">
        <v>1356</v>
      </c>
      <c r="Q1875" s="1" t="s">
        <v>42</v>
      </c>
      <c r="S1875" s="1" t="s">
        <v>42</v>
      </c>
      <c r="T1875" s="1" t="s">
        <v>153</v>
      </c>
      <c r="AA1875" s="1">
        <v>840056.25</v>
      </c>
      <c r="AB1875" s="1" t="s">
        <v>1637</v>
      </c>
      <c r="AC1875" s="5">
        <v>42744</v>
      </c>
      <c r="AF1875" s="1">
        <v>10019</v>
      </c>
      <c r="AI1875" s="1" t="s">
        <v>55</v>
      </c>
      <c r="AJ1875" s="1">
        <v>1950</v>
      </c>
      <c r="AK1875" s="1" t="s">
        <v>121</v>
      </c>
      <c r="AL1875" s="1">
        <v>55</v>
      </c>
    </row>
    <row r="1876" spans="1:38" x14ac:dyDescent="0.2">
      <c r="A1876" s="2" t="str">
        <f>HYPERLINK("https://www.compass.com/listing/432-west-52nd-street-unit-gdg-manhattan-ny-10019/29389234540489633/","432 W 52nd St, Unit GDG")</f>
        <v>432 W 52nd St, Unit GDG</v>
      </c>
      <c r="B1876" s="2" t="str">
        <f t="shared" si="268"/>
        <v>432 W 52nd St</v>
      </c>
      <c r="C1876" s="1" t="s">
        <v>67</v>
      </c>
      <c r="D1876" s="1" t="s">
        <v>41</v>
      </c>
      <c r="E1876" s="3">
        <v>1013159</v>
      </c>
      <c r="F1876" s="1">
        <v>1287.36817026683</v>
      </c>
      <c r="M1876" s="1">
        <v>787</v>
      </c>
      <c r="Q1876" s="1" t="s">
        <v>42</v>
      </c>
      <c r="S1876" s="1" t="s">
        <v>42</v>
      </c>
      <c r="T1876" s="1" t="s">
        <v>153</v>
      </c>
      <c r="AA1876" s="1">
        <v>1013158.75</v>
      </c>
      <c r="AB1876" s="1" t="s">
        <v>1638</v>
      </c>
      <c r="AC1876" s="5">
        <v>42180</v>
      </c>
      <c r="AF1876" s="1">
        <v>10019</v>
      </c>
      <c r="AI1876" s="1" t="s">
        <v>55</v>
      </c>
      <c r="AJ1876" s="1">
        <v>1950</v>
      </c>
      <c r="AK1876" s="1" t="s">
        <v>121</v>
      </c>
      <c r="AL1876" s="1">
        <v>55</v>
      </c>
    </row>
    <row r="1877" spans="1:38" x14ac:dyDescent="0.2">
      <c r="A1877" s="2" t="str">
        <f>HYPERLINK("https://www.compass.com/listing/432-west-52nd-street-unit-6h-manhattan-ny-10019/29389248809512081/","432 W 52nd St, Unit 6H")</f>
        <v>432 W 52nd St, Unit 6H</v>
      </c>
      <c r="B1877" s="2" t="str">
        <f t="shared" si="268"/>
        <v>432 W 52nd St</v>
      </c>
      <c r="C1877" s="1" t="s">
        <v>67</v>
      </c>
      <c r="D1877" s="1" t="s">
        <v>41</v>
      </c>
      <c r="E1877" s="3">
        <v>1115000</v>
      </c>
      <c r="F1877" s="1">
        <v>1634.8973607038099</v>
      </c>
      <c r="M1877" s="1">
        <v>682</v>
      </c>
      <c r="Q1877" s="1" t="s">
        <v>42</v>
      </c>
      <c r="S1877" s="1" t="s">
        <v>42</v>
      </c>
      <c r="T1877" s="1" t="s">
        <v>153</v>
      </c>
      <c r="AA1877" s="1">
        <v>1115000</v>
      </c>
      <c r="AB1877" s="1" t="s">
        <v>1639</v>
      </c>
      <c r="AC1877" s="5">
        <v>42277</v>
      </c>
      <c r="AF1877" s="1">
        <v>10019</v>
      </c>
      <c r="AI1877" s="1" t="s">
        <v>55</v>
      </c>
      <c r="AJ1877" s="1">
        <v>1950</v>
      </c>
      <c r="AK1877" s="1" t="s">
        <v>121</v>
      </c>
      <c r="AL1877" s="1">
        <v>55</v>
      </c>
    </row>
    <row r="1878" spans="1:38" x14ac:dyDescent="0.2">
      <c r="A1878" s="2" t="str">
        <f>HYPERLINK("https://www.compass.com/listing/432-west-52nd-street-unit-7c-manhattan-ny-10019/29389249690315937/","432 W 52nd St, Unit 7C")</f>
        <v>432 W 52nd St, Unit 7C</v>
      </c>
      <c r="B1878" s="2" t="str">
        <f t="shared" si="268"/>
        <v>432 W 52nd St</v>
      </c>
      <c r="C1878" s="1" t="s">
        <v>67</v>
      </c>
      <c r="D1878" s="1" t="s">
        <v>41</v>
      </c>
      <c r="E1878" s="3">
        <v>940000</v>
      </c>
      <c r="F1878" s="1">
        <v>1582.4915824915799</v>
      </c>
      <c r="M1878" s="1">
        <v>594</v>
      </c>
      <c r="Q1878" s="1" t="s">
        <v>42</v>
      </c>
      <c r="S1878" s="1" t="s">
        <v>42</v>
      </c>
      <c r="T1878" s="1" t="s">
        <v>153</v>
      </c>
      <c r="AA1878" s="1">
        <v>940000</v>
      </c>
      <c r="AB1878" s="1" t="s">
        <v>1640</v>
      </c>
      <c r="AC1878" s="5">
        <v>42242</v>
      </c>
      <c r="AF1878" s="1">
        <v>10019</v>
      </c>
      <c r="AI1878" s="1" t="s">
        <v>55</v>
      </c>
      <c r="AJ1878" s="1">
        <v>1950</v>
      </c>
      <c r="AK1878" s="1" t="s">
        <v>121</v>
      </c>
      <c r="AL1878" s="1">
        <v>55</v>
      </c>
    </row>
    <row r="1879" spans="1:38" x14ac:dyDescent="0.2">
      <c r="A1879" s="2" t="str">
        <f>HYPERLINK("https://www.compass.com/listing/176-west-82nd-street-unit-thw-manhattan-ny-10024/29399571016802305/","176 W 82nd St, Unit THW")</f>
        <v>176 W 82nd St, Unit THW</v>
      </c>
      <c r="B1879" s="2" t="str">
        <f t="shared" ref="B1879:B1884" si="269">HYPERLINK("https://www.compass.com/building/176-w-82nd-st-manhattan-ny-10024/281963431739865269/","176 W 82nd St")</f>
        <v>176 W 82nd St</v>
      </c>
      <c r="C1879" s="1" t="s">
        <v>78</v>
      </c>
      <c r="D1879" s="1" t="s">
        <v>41</v>
      </c>
      <c r="E1879" s="3">
        <v>6786636</v>
      </c>
      <c r="F1879" s="1">
        <v>1483.74207477044</v>
      </c>
      <c r="M1879" s="4">
        <v>4574</v>
      </c>
      <c r="Q1879" s="1" t="s">
        <v>42</v>
      </c>
      <c r="S1879" s="1" t="s">
        <v>42</v>
      </c>
      <c r="T1879" s="1" t="s">
        <v>153</v>
      </c>
      <c r="AA1879" s="1">
        <v>6786636.25</v>
      </c>
      <c r="AB1879" s="1" t="s">
        <v>1641</v>
      </c>
      <c r="AC1879" s="5">
        <v>42234</v>
      </c>
      <c r="AF1879" s="1">
        <v>10024</v>
      </c>
      <c r="AJ1879" s="1">
        <v>1900</v>
      </c>
      <c r="AL1879" s="1">
        <v>5</v>
      </c>
    </row>
    <row r="1880" spans="1:38" x14ac:dyDescent="0.2">
      <c r="A1880" s="2" t="str">
        <f>HYPERLINK("https://www.compass.com/listing/176-west-82nd-street-unit-4e-manhattan-ny-10024/29399571369139201/","176 W 82nd St, Unit 4E")</f>
        <v>176 W 82nd St, Unit 4E</v>
      </c>
      <c r="B1880" s="2" t="str">
        <f t="shared" si="269"/>
        <v>176 W 82nd St</v>
      </c>
      <c r="C1880" s="1" t="s">
        <v>78</v>
      </c>
      <c r="D1880" s="1" t="s">
        <v>41</v>
      </c>
      <c r="E1880" s="3">
        <v>5473094</v>
      </c>
      <c r="F1880" s="1">
        <v>2248.6005546425599</v>
      </c>
      <c r="M1880" s="4">
        <v>2434</v>
      </c>
      <c r="Q1880" s="1" t="s">
        <v>42</v>
      </c>
      <c r="S1880" s="1" t="s">
        <v>42</v>
      </c>
      <c r="T1880" s="1" t="s">
        <v>153</v>
      </c>
      <c r="AA1880" s="1">
        <v>5473093.75</v>
      </c>
      <c r="AB1880" s="1" t="s">
        <v>1642</v>
      </c>
      <c r="AC1880" s="5">
        <v>42159</v>
      </c>
      <c r="AF1880" s="1">
        <v>10024</v>
      </c>
      <c r="AJ1880" s="1">
        <v>1900</v>
      </c>
      <c r="AL1880" s="1">
        <v>5</v>
      </c>
    </row>
    <row r="1881" spans="1:38" x14ac:dyDescent="0.2">
      <c r="A1881" s="2" t="str">
        <f>HYPERLINK("https://www.compass.com/listing/176-west-82nd-street-unit-5e-manhattan-ny-10024/29399573030029473/","176 W 82nd St, Unit 5E")</f>
        <v>176 W 82nd St, Unit 5E</v>
      </c>
      <c r="B1881" s="2" t="str">
        <f t="shared" si="269"/>
        <v>176 W 82nd St</v>
      </c>
      <c r="C1881" s="1" t="s">
        <v>78</v>
      </c>
      <c r="D1881" s="1" t="s">
        <v>41</v>
      </c>
      <c r="E1881" s="3">
        <v>5182893</v>
      </c>
      <c r="F1881" s="1">
        <v>2129.3724322103499</v>
      </c>
      <c r="M1881" s="4">
        <v>2434</v>
      </c>
      <c r="Q1881" s="1" t="s">
        <v>42</v>
      </c>
      <c r="S1881" s="1" t="s">
        <v>42</v>
      </c>
      <c r="T1881" s="1" t="s">
        <v>153</v>
      </c>
      <c r="AA1881" s="1">
        <v>5182892.5</v>
      </c>
      <c r="AB1881" s="1" t="s">
        <v>1643</v>
      </c>
      <c r="AC1881" s="5">
        <v>42165</v>
      </c>
      <c r="AF1881" s="1">
        <v>10024</v>
      </c>
      <c r="AJ1881" s="1">
        <v>1900</v>
      </c>
      <c r="AL1881" s="1">
        <v>5</v>
      </c>
    </row>
    <row r="1882" spans="1:38" x14ac:dyDescent="0.2">
      <c r="A1882" s="2" t="str">
        <f>HYPERLINK("https://www.compass.com/listing/176-west-82nd-street-unit-5e-manhattan-ny-10024/29399573030029489/","176 W 82nd St, Unit 5E")</f>
        <v>176 W 82nd St, Unit 5E</v>
      </c>
      <c r="B1882" s="2" t="str">
        <f t="shared" si="269"/>
        <v>176 W 82nd St</v>
      </c>
      <c r="C1882" s="1" t="s">
        <v>78</v>
      </c>
      <c r="D1882" s="1" t="s">
        <v>41</v>
      </c>
      <c r="E1882" s="3">
        <v>6250000</v>
      </c>
      <c r="F1882" s="1">
        <v>2567.78964667214</v>
      </c>
      <c r="M1882" s="4">
        <v>2434</v>
      </c>
      <c r="Q1882" s="1" t="s">
        <v>42</v>
      </c>
      <c r="S1882" s="1" t="s">
        <v>42</v>
      </c>
      <c r="T1882" s="1" t="s">
        <v>153</v>
      </c>
      <c r="AA1882" s="1">
        <v>6250000</v>
      </c>
      <c r="AB1882" s="1" t="s">
        <v>1644</v>
      </c>
      <c r="AC1882" s="5">
        <v>42265</v>
      </c>
      <c r="AF1882" s="1">
        <v>10024</v>
      </c>
      <c r="AJ1882" s="1">
        <v>1900</v>
      </c>
      <c r="AL1882" s="1">
        <v>5</v>
      </c>
    </row>
    <row r="1883" spans="1:38" x14ac:dyDescent="0.2">
      <c r="A1883" s="2" t="str">
        <f>HYPERLINK("https://www.compass.com/listing/176-west-82nd-street-unit-phe-manhattan-ny-10024/29399573877333041/","176 W 82nd St, Unit PHE")</f>
        <v>176 W 82nd St, Unit PHE</v>
      </c>
      <c r="B1883" s="2" t="str">
        <f t="shared" si="269"/>
        <v>176 W 82nd St</v>
      </c>
      <c r="C1883" s="1" t="s">
        <v>78</v>
      </c>
      <c r="D1883" s="1" t="s">
        <v>41</v>
      </c>
      <c r="E1883" s="3">
        <v>6017858</v>
      </c>
      <c r="F1883" s="1">
        <v>2710.7466216216199</v>
      </c>
      <c r="M1883" s="4">
        <v>2220</v>
      </c>
      <c r="Q1883" s="1" t="s">
        <v>42</v>
      </c>
      <c r="S1883" s="1" t="s">
        <v>42</v>
      </c>
      <c r="T1883" s="1" t="s">
        <v>153</v>
      </c>
      <c r="AA1883" s="1">
        <v>6017857.5</v>
      </c>
      <c r="AB1883" s="1" t="s">
        <v>1645</v>
      </c>
      <c r="AC1883" s="5">
        <v>42212</v>
      </c>
      <c r="AF1883" s="1">
        <v>10024</v>
      </c>
      <c r="AJ1883" s="1">
        <v>1900</v>
      </c>
      <c r="AL1883" s="1">
        <v>5</v>
      </c>
    </row>
    <row r="1884" spans="1:38" x14ac:dyDescent="0.2">
      <c r="A1884" s="2" t="str">
        <f>HYPERLINK("https://www.compass.com/listing/176-west-82nd-street-unit-phw-manhattan-ny-10024/29399574196046129/","176 W 82nd St, Unit PHW")</f>
        <v>176 W 82nd St, Unit PHW</v>
      </c>
      <c r="B1884" s="2" t="str">
        <f t="shared" si="269"/>
        <v>176 W 82nd St</v>
      </c>
      <c r="C1884" s="1" t="s">
        <v>78</v>
      </c>
      <c r="D1884" s="1" t="s">
        <v>41</v>
      </c>
      <c r="E1884" s="3">
        <v>5116706</v>
      </c>
      <c r="F1884" s="1">
        <v>2890.7944915254202</v>
      </c>
      <c r="M1884" s="4">
        <v>1770</v>
      </c>
      <c r="Q1884" s="1" t="s">
        <v>42</v>
      </c>
      <c r="S1884" s="1" t="s">
        <v>42</v>
      </c>
      <c r="T1884" s="1" t="s">
        <v>153</v>
      </c>
      <c r="AA1884" s="1">
        <v>5116706.25</v>
      </c>
      <c r="AB1884" s="1" t="s">
        <v>1646</v>
      </c>
      <c r="AC1884" s="5">
        <v>42215</v>
      </c>
      <c r="AF1884" s="1">
        <v>10024</v>
      </c>
      <c r="AJ1884" s="1">
        <v>1900</v>
      </c>
      <c r="AL1884" s="1">
        <v>5</v>
      </c>
    </row>
    <row r="1885" spans="1:38" x14ac:dyDescent="0.2">
      <c r="A1885" s="2" t="str">
        <f>HYPERLINK("https://www.compass.com/listing/21-east-61st-street-unit-5b-manhattan-ny-10065/29410708378643825/","21 E 61st St, Unit 5B")</f>
        <v>21 E 61st St, Unit 5B</v>
      </c>
      <c r="B1885" s="2" t="str">
        <f t="shared" ref="B1885:B1890" si="270">HYPERLINK("https://www.compass.com/building/the-carlton-house-manhattan-ny/292926373863910149/","The Carlton House")</f>
        <v>The Carlton House</v>
      </c>
      <c r="C1885" s="1" t="s">
        <v>98</v>
      </c>
      <c r="D1885" s="1" t="s">
        <v>41</v>
      </c>
      <c r="E1885" s="3">
        <v>12935025</v>
      </c>
      <c r="Q1885" s="1" t="s">
        <v>117</v>
      </c>
      <c r="S1885" s="1" t="s">
        <v>117</v>
      </c>
      <c r="T1885" s="1" t="s">
        <v>153</v>
      </c>
      <c r="AA1885" s="1">
        <v>12935025</v>
      </c>
      <c r="AB1885" s="1" t="s">
        <v>1647</v>
      </c>
      <c r="AC1885" s="5">
        <v>42081</v>
      </c>
      <c r="AF1885" s="1">
        <v>10065</v>
      </c>
      <c r="AJ1885" s="1">
        <v>1951</v>
      </c>
      <c r="AK1885" s="1" t="s">
        <v>99</v>
      </c>
      <c r="AL1885" s="1">
        <v>68</v>
      </c>
    </row>
    <row r="1886" spans="1:38" x14ac:dyDescent="0.2">
      <c r="A1886" s="2" t="str">
        <f>HYPERLINK("https://www.compass.com/listing/21-east-61st-street-unit-12c-manhattan-ny-10065/29410715131553361/","21 E 61st St, Unit 12C")</f>
        <v>21 E 61st St, Unit 12C</v>
      </c>
      <c r="B1886" s="2" t="str">
        <f t="shared" si="270"/>
        <v>The Carlton House</v>
      </c>
      <c r="C1886" s="1" t="s">
        <v>98</v>
      </c>
      <c r="D1886" s="1" t="s">
        <v>41</v>
      </c>
      <c r="E1886" s="3">
        <v>5318515</v>
      </c>
      <c r="F1886" s="1">
        <v>3936.7246484085799</v>
      </c>
      <c r="G1886" s="1">
        <v>4</v>
      </c>
      <c r="H1886" s="1">
        <v>2</v>
      </c>
      <c r="I1886" s="1">
        <v>2</v>
      </c>
      <c r="J1886" s="1">
        <v>2</v>
      </c>
      <c r="M1886" s="4">
        <v>1351</v>
      </c>
      <c r="N1886" s="1">
        <v>4312</v>
      </c>
      <c r="O1886" s="1">
        <v>4312</v>
      </c>
      <c r="Q1886" s="1" t="s">
        <v>836</v>
      </c>
      <c r="S1886" s="1" t="s">
        <v>836</v>
      </c>
      <c r="T1886" s="1" t="s">
        <v>153</v>
      </c>
      <c r="V1886" s="5">
        <v>41640</v>
      </c>
      <c r="Y1886" s="1">
        <v>5200000</v>
      </c>
      <c r="Z1886" s="5">
        <v>42105</v>
      </c>
      <c r="AA1886" s="1">
        <v>5318515</v>
      </c>
      <c r="AB1886" s="1" t="s">
        <v>1648</v>
      </c>
      <c r="AC1886" s="5">
        <v>42067</v>
      </c>
      <c r="AF1886" s="1">
        <v>10065</v>
      </c>
      <c r="AI1886" s="1" t="s">
        <v>163</v>
      </c>
      <c r="AJ1886" s="1">
        <v>1951</v>
      </c>
      <c r="AK1886" s="1" t="s">
        <v>99</v>
      </c>
      <c r="AL1886" s="1">
        <v>68</v>
      </c>
    </row>
    <row r="1887" spans="1:38" x14ac:dyDescent="0.2">
      <c r="A1887" s="2" t="str">
        <f>HYPERLINK("https://www.compass.com/listing/21-east-61st-street-unit-11a-manhattan-ny-10065/29410723125816993/","21 E 61st St, Unit 11A")</f>
        <v>21 E 61st St, Unit 11A</v>
      </c>
      <c r="B1887" s="2" t="str">
        <f t="shared" si="270"/>
        <v>The Carlton House</v>
      </c>
      <c r="C1887" s="1" t="s">
        <v>98</v>
      </c>
      <c r="D1887" s="1" t="s">
        <v>41</v>
      </c>
      <c r="E1887" s="3">
        <v>9574800</v>
      </c>
      <c r="Q1887" s="1" t="s">
        <v>117</v>
      </c>
      <c r="S1887" s="1" t="s">
        <v>117</v>
      </c>
      <c r="T1887" s="1" t="s">
        <v>153</v>
      </c>
      <c r="AA1887" s="1">
        <v>9574800</v>
      </c>
      <c r="AB1887" s="1" t="s">
        <v>1649</v>
      </c>
      <c r="AC1887" s="5">
        <v>42065</v>
      </c>
      <c r="AF1887" s="1">
        <v>10065</v>
      </c>
      <c r="AJ1887" s="1">
        <v>1951</v>
      </c>
      <c r="AK1887" s="1" t="s">
        <v>99</v>
      </c>
      <c r="AL1887" s="1">
        <v>68</v>
      </c>
    </row>
    <row r="1888" spans="1:38" x14ac:dyDescent="0.2">
      <c r="A1888" s="2" t="str">
        <f>HYPERLINK("https://www.compass.com/listing/21-east-61st-street-unit-4a-manhattan-ny-10065/29410727311732465/","21 E 61st St, Unit 4A")</f>
        <v>21 E 61st St, Unit 4A</v>
      </c>
      <c r="B1888" s="2" t="str">
        <f t="shared" si="270"/>
        <v>The Carlton House</v>
      </c>
      <c r="C1888" s="1" t="s">
        <v>98</v>
      </c>
      <c r="D1888" s="1" t="s">
        <v>41</v>
      </c>
      <c r="E1888" s="3">
        <v>2650700</v>
      </c>
      <c r="Q1888" s="1" t="s">
        <v>117</v>
      </c>
      <c r="S1888" s="1" t="s">
        <v>117</v>
      </c>
      <c r="T1888" s="1" t="s">
        <v>153</v>
      </c>
      <c r="AA1888" s="1">
        <v>2650700</v>
      </c>
      <c r="AB1888" s="1" t="s">
        <v>1650</v>
      </c>
      <c r="AC1888" s="5">
        <v>42160</v>
      </c>
      <c r="AF1888" s="1">
        <v>10065</v>
      </c>
      <c r="AJ1888" s="1">
        <v>1951</v>
      </c>
      <c r="AK1888" s="1" t="s">
        <v>99</v>
      </c>
      <c r="AL1888" s="1">
        <v>68</v>
      </c>
    </row>
    <row r="1889" spans="1:38" x14ac:dyDescent="0.2">
      <c r="A1889" s="2" t="str">
        <f>HYPERLINK("https://www.compass.com/listing/21-east-61st-street-unit-4d-manhattan-ny-10065/29410729324998417/","21 E 61st St, Unit 4D")</f>
        <v>21 E 61st St, Unit 4D</v>
      </c>
      <c r="B1889" s="2" t="str">
        <f t="shared" si="270"/>
        <v>The Carlton House</v>
      </c>
      <c r="C1889" s="1" t="s">
        <v>98</v>
      </c>
      <c r="D1889" s="1" t="s">
        <v>41</v>
      </c>
      <c r="E1889" s="3">
        <v>4723857</v>
      </c>
      <c r="Q1889" s="1" t="s">
        <v>117</v>
      </c>
      <c r="S1889" s="1" t="s">
        <v>117</v>
      </c>
      <c r="T1889" s="1" t="s">
        <v>153</v>
      </c>
      <c r="AA1889" s="1">
        <v>4723857</v>
      </c>
      <c r="AB1889" s="1" t="s">
        <v>1651</v>
      </c>
      <c r="AC1889" s="5">
        <v>42198</v>
      </c>
      <c r="AF1889" s="1">
        <v>10065</v>
      </c>
      <c r="AJ1889" s="1">
        <v>1951</v>
      </c>
      <c r="AK1889" s="1" t="s">
        <v>99</v>
      </c>
      <c r="AL1889" s="1">
        <v>68</v>
      </c>
    </row>
    <row r="1890" spans="1:38" x14ac:dyDescent="0.2">
      <c r="A1890" s="2" t="str">
        <f>HYPERLINK("https://www.compass.com/listing/21-east-61st-street-unit-s19-manhattan-ny-10065/29410730952468417/","21 E 61st St, Unit S19")</f>
        <v>21 E 61st St, Unit S19</v>
      </c>
      <c r="B1890" s="2" t="str">
        <f t="shared" si="270"/>
        <v>The Carlton House</v>
      </c>
      <c r="C1890" s="1" t="s">
        <v>98</v>
      </c>
      <c r="D1890" s="1" t="s">
        <v>41</v>
      </c>
      <c r="E1890" s="3">
        <v>70980</v>
      </c>
      <c r="Q1890" s="1" t="s">
        <v>117</v>
      </c>
      <c r="S1890" s="1" t="s">
        <v>117</v>
      </c>
      <c r="T1890" s="1" t="s">
        <v>153</v>
      </c>
      <c r="AA1890" s="1">
        <v>70980</v>
      </c>
      <c r="AB1890" s="1" t="s">
        <v>1652</v>
      </c>
      <c r="AC1890" s="5">
        <v>42767</v>
      </c>
      <c r="AF1890" s="1">
        <v>10065</v>
      </c>
      <c r="AJ1890" s="1">
        <v>1951</v>
      </c>
      <c r="AK1890" s="1" t="s">
        <v>99</v>
      </c>
      <c r="AL1890" s="1">
        <v>68</v>
      </c>
    </row>
    <row r="1891" spans="1:38" x14ac:dyDescent="0.2">
      <c r="A1891" s="2" t="str">
        <f>HYPERLINK("https://www.compass.com/listing/192-lenox-avenue-unit-2-manhattan-ny-10027/29428191772859233/","192 Lenox Ave, Unit 2")</f>
        <v>192 Lenox Ave, Unit 2</v>
      </c>
      <c r="B1891" s="2" t="str">
        <f t="shared" ref="B1891:B1892" si="271">HYPERLINK("https://www.compass.com/building/192-lenox-ave-manhattan-ny-10027/281975082820136613/","192 Lenox Ave")</f>
        <v>192 Lenox Ave</v>
      </c>
      <c r="C1891" s="1" t="s">
        <v>60</v>
      </c>
      <c r="D1891" s="1" t="s">
        <v>41</v>
      </c>
      <c r="E1891" s="3">
        <v>994830</v>
      </c>
      <c r="F1891" s="1">
        <v>920.28700277520795</v>
      </c>
      <c r="M1891" s="4">
        <v>1081</v>
      </c>
      <c r="Q1891" s="1" t="s">
        <v>42</v>
      </c>
      <c r="S1891" s="1" t="s">
        <v>42</v>
      </c>
      <c r="T1891" s="1" t="s">
        <v>153</v>
      </c>
      <c r="AA1891" s="1">
        <v>994830.25</v>
      </c>
      <c r="AB1891" s="1" t="s">
        <v>1653</v>
      </c>
      <c r="AC1891" s="5">
        <v>42360</v>
      </c>
      <c r="AF1891" s="1">
        <v>10027</v>
      </c>
      <c r="AI1891" s="1" t="s">
        <v>66</v>
      </c>
      <c r="AJ1891" s="1">
        <v>1909</v>
      </c>
      <c r="AL1891" s="1">
        <v>6</v>
      </c>
    </row>
    <row r="1892" spans="1:38" x14ac:dyDescent="0.2">
      <c r="A1892" s="2" t="str">
        <f>HYPERLINK("https://www.compass.com/listing/192-lenox-avenue-unit-3b-manhattan-ny-10027/29428192536168321/","192 Lenox Ave, Unit 3B")</f>
        <v>192 Lenox Ave, Unit 3B</v>
      </c>
      <c r="B1892" s="2" t="str">
        <f t="shared" si="271"/>
        <v>192 Lenox Ave</v>
      </c>
      <c r="C1892" s="1" t="s">
        <v>60</v>
      </c>
      <c r="D1892" s="1" t="s">
        <v>41</v>
      </c>
      <c r="E1892" s="3">
        <v>430000</v>
      </c>
      <c r="F1892" s="1">
        <v>892.11618257261398</v>
      </c>
      <c r="M1892" s="1">
        <v>482</v>
      </c>
      <c r="Q1892" s="1" t="s">
        <v>42</v>
      </c>
      <c r="S1892" s="1" t="s">
        <v>42</v>
      </c>
      <c r="T1892" s="1" t="s">
        <v>153</v>
      </c>
      <c r="AA1892" s="1">
        <v>430000</v>
      </c>
      <c r="AB1892" s="1" t="s">
        <v>1654</v>
      </c>
      <c r="AC1892" s="5">
        <v>42425</v>
      </c>
      <c r="AF1892" s="1">
        <v>10027</v>
      </c>
      <c r="AI1892" s="1" t="s">
        <v>66</v>
      </c>
      <c r="AJ1892" s="1">
        <v>1909</v>
      </c>
      <c r="AL1892" s="1">
        <v>6</v>
      </c>
    </row>
    <row r="1893" spans="1:38" x14ac:dyDescent="0.2">
      <c r="A1893" s="2" t="str">
        <f>HYPERLINK("https://www.compass.com/listing/57-west-127th-street-unit-g-manhattan-ny-10027/29428347608034993/","57 W 127th St, Unit G")</f>
        <v>57 W 127th St, Unit G</v>
      </c>
      <c r="B1893" s="2" t="str">
        <f>HYPERLINK("https://www.compass.com/building/san-giorgio-manhattan-ny/281983292037763781/","San Giorgio")</f>
        <v>San Giorgio</v>
      </c>
      <c r="C1893" s="1" t="s">
        <v>141</v>
      </c>
      <c r="D1893" s="1" t="s">
        <v>41</v>
      </c>
      <c r="E1893" s="3">
        <v>959192</v>
      </c>
      <c r="F1893" s="1">
        <v>972.81085192697697</v>
      </c>
      <c r="M1893" s="1">
        <v>986</v>
      </c>
      <c r="Q1893" s="1" t="s">
        <v>42</v>
      </c>
      <c r="S1893" s="1" t="s">
        <v>42</v>
      </c>
      <c r="T1893" s="1" t="s">
        <v>153</v>
      </c>
      <c r="AA1893" s="1">
        <v>959191.5</v>
      </c>
      <c r="AB1893" s="1" t="s">
        <v>1655</v>
      </c>
      <c r="AC1893" s="5">
        <v>42331</v>
      </c>
      <c r="AF1893" s="1">
        <v>10027</v>
      </c>
      <c r="AJ1893" s="1">
        <v>1899</v>
      </c>
      <c r="AL1893" s="1">
        <v>6</v>
      </c>
    </row>
    <row r="1894" spans="1:38" x14ac:dyDescent="0.2">
      <c r="A1894" s="2" t="str">
        <f>HYPERLINK("https://www.compass.com/listing/136-west-123rd-street-unit-1-manhattan-ny-10027/29432192065169153/","136 W 123rd St, Unit 1")</f>
        <v>136 W 123rd St, Unit 1</v>
      </c>
      <c r="B1894" s="2" t="str">
        <f t="shared" ref="B1894:B1896" si="272">HYPERLINK("https://www.compass.com/building/136-w-123rd-st-manhattan-ny-10027/281978519993546549/","136 W 123rd St")</f>
        <v>136 W 123rd St</v>
      </c>
      <c r="C1894" s="1" t="s">
        <v>60</v>
      </c>
      <c r="D1894" s="1" t="s">
        <v>41</v>
      </c>
      <c r="E1894" s="3">
        <v>900000</v>
      </c>
      <c r="F1894" s="1">
        <v>674.15730337078605</v>
      </c>
      <c r="M1894" s="4">
        <v>1335</v>
      </c>
      <c r="Q1894" s="1" t="s">
        <v>42</v>
      </c>
      <c r="S1894" s="1" t="s">
        <v>42</v>
      </c>
      <c r="T1894" s="1" t="s">
        <v>153</v>
      </c>
      <c r="AA1894" s="1">
        <v>900000</v>
      </c>
      <c r="AB1894" s="1" t="s">
        <v>1656</v>
      </c>
      <c r="AC1894" s="5">
        <v>41820</v>
      </c>
      <c r="AF1894" s="1">
        <v>10027</v>
      </c>
      <c r="AI1894" s="1" t="s">
        <v>1657</v>
      </c>
      <c r="AJ1894" s="1">
        <v>2014</v>
      </c>
      <c r="AL1894" s="1">
        <v>4</v>
      </c>
    </row>
    <row r="1895" spans="1:38" x14ac:dyDescent="0.2">
      <c r="A1895" s="2" t="str">
        <f>HYPERLINK("https://www.compass.com/listing/136-west-123rd-street-unit-2-manhattan-ny-10027/29432192367158913/","136 W 123rd St, Unit 2")</f>
        <v>136 W 123rd St, Unit 2</v>
      </c>
      <c r="B1895" s="2" t="str">
        <f t="shared" si="272"/>
        <v>136 W 123rd St</v>
      </c>
      <c r="C1895" s="1" t="s">
        <v>60</v>
      </c>
      <c r="D1895" s="1" t="s">
        <v>41</v>
      </c>
      <c r="E1895" s="3">
        <v>800000</v>
      </c>
      <c r="F1895" s="1">
        <v>740.74074074073997</v>
      </c>
      <c r="M1895" s="4">
        <v>1080</v>
      </c>
      <c r="Q1895" s="1" t="s">
        <v>42</v>
      </c>
      <c r="S1895" s="1" t="s">
        <v>42</v>
      </c>
      <c r="T1895" s="1" t="s">
        <v>153</v>
      </c>
      <c r="AA1895" s="1">
        <v>800000</v>
      </c>
      <c r="AB1895" s="1" t="s">
        <v>1658</v>
      </c>
      <c r="AC1895" s="5">
        <v>41820</v>
      </c>
      <c r="AF1895" s="1">
        <v>10027</v>
      </c>
      <c r="AI1895" s="1" t="s">
        <v>1657</v>
      </c>
      <c r="AJ1895" s="1">
        <v>2014</v>
      </c>
      <c r="AL1895" s="1">
        <v>4</v>
      </c>
    </row>
    <row r="1896" spans="1:38" x14ac:dyDescent="0.2">
      <c r="A1896" s="2" t="str">
        <f>HYPERLINK("https://www.compass.com/listing/136-west-123rd-street-unit-4-manhattan-ny-10027/29432193231185681/","136 W 123rd St, Unit 4")</f>
        <v>136 W 123rd St, Unit 4</v>
      </c>
      <c r="B1896" s="2" t="str">
        <f t="shared" si="272"/>
        <v>136 W 123rd St</v>
      </c>
      <c r="C1896" s="1" t="s">
        <v>60</v>
      </c>
      <c r="D1896" s="1" t="s">
        <v>41</v>
      </c>
      <c r="E1896" s="3">
        <v>1330000</v>
      </c>
      <c r="F1896" s="1">
        <v>881.378396288933</v>
      </c>
      <c r="M1896" s="4">
        <v>1509</v>
      </c>
      <c r="Q1896" s="1" t="s">
        <v>42</v>
      </c>
      <c r="S1896" s="1" t="s">
        <v>42</v>
      </c>
      <c r="T1896" s="1" t="s">
        <v>153</v>
      </c>
      <c r="AA1896" s="1">
        <v>1330000</v>
      </c>
      <c r="AB1896" s="1" t="s">
        <v>1659</v>
      </c>
      <c r="AC1896" s="5">
        <v>41815</v>
      </c>
      <c r="AF1896" s="1">
        <v>10027</v>
      </c>
      <c r="AI1896" s="1" t="s">
        <v>1657</v>
      </c>
      <c r="AJ1896" s="1">
        <v>2014</v>
      </c>
      <c r="AL1896" s="1">
        <v>4</v>
      </c>
    </row>
    <row r="1897" spans="1:38" x14ac:dyDescent="0.2">
      <c r="A1897" s="2" t="str">
        <f>HYPERLINK("https://www.compass.com/listing/159-west-126th-street-unit-gara-manhattan-ny-10027/29432249023754193/","159 W 126th St, Unit GARA")</f>
        <v>159 W 126th St, Unit GARA</v>
      </c>
      <c r="B1897" s="2" t="str">
        <f t="shared" ref="B1897:B1900" si="273">HYPERLINK("https://www.compass.com/building/159-w-126th-st-manhattan-ny-10027/281979329234174885/","159 W 126th St")</f>
        <v>159 W 126th St</v>
      </c>
      <c r="C1897" s="1" t="s">
        <v>141</v>
      </c>
      <c r="D1897" s="1" t="s">
        <v>41</v>
      </c>
      <c r="E1897" s="3">
        <v>999921</v>
      </c>
      <c r="F1897" s="1">
        <v>812.94390243902399</v>
      </c>
      <c r="M1897" s="4">
        <v>1230</v>
      </c>
      <c r="Q1897" s="1" t="s">
        <v>42</v>
      </c>
      <c r="S1897" s="1" t="s">
        <v>42</v>
      </c>
      <c r="T1897" s="1" t="s">
        <v>153</v>
      </c>
      <c r="AA1897" s="1">
        <v>999921</v>
      </c>
      <c r="AB1897" s="1" t="s">
        <v>1660</v>
      </c>
      <c r="AC1897" s="5">
        <v>42531</v>
      </c>
      <c r="AF1897" s="1">
        <v>10027</v>
      </c>
      <c r="AI1897" s="1" t="s">
        <v>1657</v>
      </c>
      <c r="AJ1897" s="1">
        <v>1910</v>
      </c>
      <c r="AL1897" s="1">
        <v>10</v>
      </c>
    </row>
    <row r="1898" spans="1:38" x14ac:dyDescent="0.2">
      <c r="A1898" s="2" t="str">
        <f>HYPERLINK("https://www.compass.com/listing/159-west-126th-street-unit-garb-manhattan-ny-10027/29432249334197425/","159 W 126th St, Unit GARB")</f>
        <v>159 W 126th St, Unit GARB</v>
      </c>
      <c r="B1898" s="2" t="str">
        <f t="shared" si="273"/>
        <v>159 W 126th St</v>
      </c>
      <c r="C1898" s="1" t="s">
        <v>141</v>
      </c>
      <c r="D1898" s="1" t="s">
        <v>41</v>
      </c>
      <c r="E1898" s="3">
        <v>1119057</v>
      </c>
      <c r="F1898" s="1">
        <v>742.08007294429694</v>
      </c>
      <c r="M1898" s="4">
        <v>1508</v>
      </c>
      <c r="Q1898" s="1" t="s">
        <v>42</v>
      </c>
      <c r="S1898" s="1" t="s">
        <v>42</v>
      </c>
      <c r="T1898" s="1" t="s">
        <v>153</v>
      </c>
      <c r="AA1898" s="1">
        <v>1119056.75</v>
      </c>
      <c r="AB1898" s="1" t="s">
        <v>1661</v>
      </c>
      <c r="AC1898" s="5">
        <v>42500</v>
      </c>
      <c r="AF1898" s="1">
        <v>10027</v>
      </c>
      <c r="AI1898" s="1" t="s">
        <v>1657</v>
      </c>
      <c r="AJ1898" s="1">
        <v>1910</v>
      </c>
      <c r="AL1898" s="1">
        <v>10</v>
      </c>
    </row>
    <row r="1899" spans="1:38" x14ac:dyDescent="0.2">
      <c r="A1899" s="2" t="str">
        <f>HYPERLINK("https://www.compass.com/listing/159-west-126th-street-unit-2b-manhattan-ny-10027/29432250701540513/","159 W 126th St, Unit 2B")</f>
        <v>159 W 126th St, Unit 2B</v>
      </c>
      <c r="B1899" s="2" t="str">
        <f t="shared" si="273"/>
        <v>159 W 126th St</v>
      </c>
      <c r="C1899" s="1" t="s">
        <v>141</v>
      </c>
      <c r="D1899" s="1" t="s">
        <v>41</v>
      </c>
      <c r="E1899" s="3">
        <v>1017232</v>
      </c>
      <c r="F1899" s="1">
        <v>999.245333988212</v>
      </c>
      <c r="M1899" s="4">
        <v>1018</v>
      </c>
      <c r="Q1899" s="1" t="s">
        <v>42</v>
      </c>
      <c r="S1899" s="1" t="s">
        <v>42</v>
      </c>
      <c r="T1899" s="1" t="s">
        <v>153</v>
      </c>
      <c r="AA1899" s="1">
        <v>1017231.75</v>
      </c>
      <c r="AB1899" s="1" t="s">
        <v>1662</v>
      </c>
      <c r="AC1899" s="5">
        <v>42500</v>
      </c>
      <c r="AF1899" s="1">
        <v>10027</v>
      </c>
      <c r="AI1899" s="1" t="s">
        <v>1657</v>
      </c>
      <c r="AJ1899" s="1">
        <v>1910</v>
      </c>
      <c r="AL1899" s="1">
        <v>10</v>
      </c>
    </row>
    <row r="1900" spans="1:38" x14ac:dyDescent="0.2">
      <c r="A1900" s="2" t="str">
        <f>HYPERLINK("https://www.compass.com/listing/159-west-126th-street-unit-3a-manhattan-ny-10027/29432251053797361/","159 W 126th St, Unit 3A")</f>
        <v>159 W 126th St, Unit 3A</v>
      </c>
      <c r="B1900" s="2" t="str">
        <f t="shared" si="273"/>
        <v>159 W 126th St</v>
      </c>
      <c r="C1900" s="1" t="s">
        <v>141</v>
      </c>
      <c r="D1900" s="1" t="s">
        <v>41</v>
      </c>
      <c r="E1900" s="3">
        <v>915407</v>
      </c>
      <c r="F1900" s="1">
        <v>933.136340468909</v>
      </c>
      <c r="M1900" s="1">
        <v>981</v>
      </c>
      <c r="Q1900" s="1" t="s">
        <v>42</v>
      </c>
      <c r="S1900" s="1" t="s">
        <v>42</v>
      </c>
      <c r="T1900" s="1" t="s">
        <v>153</v>
      </c>
      <c r="AA1900" s="1">
        <v>915406.75</v>
      </c>
      <c r="AB1900" s="1" t="s">
        <v>1663</v>
      </c>
      <c r="AC1900" s="5">
        <v>42495</v>
      </c>
      <c r="AF1900" s="1">
        <v>10027</v>
      </c>
      <c r="AI1900" s="1" t="s">
        <v>1657</v>
      </c>
      <c r="AJ1900" s="1">
        <v>1910</v>
      </c>
      <c r="AL1900" s="1">
        <v>10</v>
      </c>
    </row>
    <row r="1901" spans="1:38" x14ac:dyDescent="0.2">
      <c r="A1901" s="2" t="str">
        <f>HYPERLINK("https://www.compass.com/listing/155-west-126th-street-unit-garb-manhattan-ny-10027/29432253050286097/","155 W 126th St, Unit GARB")</f>
        <v>155 W 126th St, Unit GARB</v>
      </c>
      <c r="B1901" s="2" t="str">
        <f>HYPERLINK("https://www.compass.com/building/155-w-126th-st-manhattan-ny-10027/281979223730651925/","155 W 126th St")</f>
        <v>155 W 126th St</v>
      </c>
      <c r="C1901" s="1" t="s">
        <v>141</v>
      </c>
      <c r="D1901" s="1" t="s">
        <v>41</v>
      </c>
      <c r="E1901" s="3">
        <v>1119057</v>
      </c>
      <c r="F1901" s="1">
        <v>788.06813380281596</v>
      </c>
      <c r="M1901" s="4">
        <v>1420</v>
      </c>
      <c r="Q1901" s="1" t="s">
        <v>42</v>
      </c>
      <c r="S1901" s="1" t="s">
        <v>42</v>
      </c>
      <c r="T1901" s="1" t="s">
        <v>153</v>
      </c>
      <c r="AA1901" s="1">
        <v>1119056.75</v>
      </c>
      <c r="AB1901" s="1" t="s">
        <v>1664</v>
      </c>
      <c r="AC1901" s="5">
        <v>42391</v>
      </c>
      <c r="AF1901" s="1">
        <v>10027</v>
      </c>
      <c r="AI1901" s="1" t="s">
        <v>107</v>
      </c>
      <c r="AJ1901" s="1">
        <v>1910</v>
      </c>
      <c r="AL1901" s="1">
        <v>10</v>
      </c>
    </row>
    <row r="1902" spans="1:38" x14ac:dyDescent="0.2">
      <c r="A1902" s="2" t="str">
        <f>HYPERLINK("https://www.compass.com/listing/427-west-154th-street-unit-8-manhattan-ny-10032/29434548727108753/","427 W 154th St, Unit 8")</f>
        <v>427 W 154th St, Unit 8</v>
      </c>
      <c r="B1902" s="2" t="str">
        <f>HYPERLINK("https://www.compass.com/building/427-w-154th-st-manhattan-ny-10032/282005560126208341/","427 W 154th St")</f>
        <v>427 W 154th St</v>
      </c>
      <c r="C1902" s="1" t="s">
        <v>82</v>
      </c>
      <c r="D1902" s="1" t="s">
        <v>41</v>
      </c>
      <c r="E1902" s="3">
        <v>100000</v>
      </c>
      <c r="F1902" s="1">
        <v>116.822429906542</v>
      </c>
      <c r="M1902" s="1">
        <v>856</v>
      </c>
      <c r="Q1902" s="1" t="s">
        <v>42</v>
      </c>
      <c r="S1902" s="1" t="s">
        <v>42</v>
      </c>
      <c r="T1902" s="1" t="s">
        <v>153</v>
      </c>
      <c r="AA1902" s="1">
        <v>100000</v>
      </c>
      <c r="AB1902" s="1" t="s">
        <v>1665</v>
      </c>
      <c r="AC1902" s="5">
        <v>43126</v>
      </c>
      <c r="AF1902" s="1">
        <v>10032</v>
      </c>
      <c r="AJ1902" s="1">
        <v>1985</v>
      </c>
      <c r="AL1902" s="1">
        <v>10</v>
      </c>
    </row>
    <row r="1903" spans="1:38" x14ac:dyDescent="0.2">
      <c r="A1903" s="2" t="str">
        <f>HYPERLINK("https://www.compass.com/listing/750-riverside-drive-unit-1f-manhattan-ny-10031/29434967494820561/","750 Riverside Dr, Unit 1F")</f>
        <v>750 Riverside Dr, Unit 1F</v>
      </c>
      <c r="B1903" s="2" t="str">
        <f t="shared" ref="B1903:B1910" si="274">HYPERLINK("https://www.compass.com/building/750-riverside-dr-manhattan-ny-10031/282003523909053237/","750 Riverside Dr")</f>
        <v>750 Riverside Dr</v>
      </c>
      <c r="C1903" s="1" t="s">
        <v>82</v>
      </c>
      <c r="D1903" s="1" t="s">
        <v>41</v>
      </c>
      <c r="E1903" s="3">
        <v>329550</v>
      </c>
      <c r="F1903" s="1">
        <v>554.797979797979</v>
      </c>
      <c r="M1903" s="1">
        <v>594</v>
      </c>
      <c r="Q1903" s="1" t="s">
        <v>42</v>
      </c>
      <c r="S1903" s="1" t="s">
        <v>42</v>
      </c>
      <c r="T1903" s="1" t="s">
        <v>153</v>
      </c>
      <c r="AA1903" s="1">
        <v>329550</v>
      </c>
      <c r="AB1903" s="1" t="s">
        <v>1666</v>
      </c>
      <c r="AC1903" s="5">
        <v>42439</v>
      </c>
      <c r="AF1903" s="1">
        <v>10031</v>
      </c>
      <c r="AJ1903" s="1">
        <v>1920</v>
      </c>
      <c r="AL1903" s="1">
        <v>42</v>
      </c>
    </row>
    <row r="1904" spans="1:38" x14ac:dyDescent="0.2">
      <c r="A1904" s="2" t="str">
        <f>HYPERLINK("https://www.compass.com/listing/750-riverside-drive-unit-2e-manhattan-ny-10031/29434968945984817/","750 Riverside Dr, Unit 2E")</f>
        <v>750 Riverside Dr, Unit 2E</v>
      </c>
      <c r="B1904" s="2" t="str">
        <f t="shared" si="274"/>
        <v>750 Riverside Dr</v>
      </c>
      <c r="C1904" s="1" t="s">
        <v>82</v>
      </c>
      <c r="D1904" s="1" t="s">
        <v>41</v>
      </c>
      <c r="E1904" s="3">
        <v>407628</v>
      </c>
      <c r="F1904" s="1">
        <v>577.37677053824302</v>
      </c>
      <c r="M1904" s="1">
        <v>706</v>
      </c>
      <c r="Q1904" s="1" t="s">
        <v>42</v>
      </c>
      <c r="S1904" s="1" t="s">
        <v>42</v>
      </c>
      <c r="T1904" s="1" t="s">
        <v>153</v>
      </c>
      <c r="AA1904" s="1">
        <v>407628</v>
      </c>
      <c r="AB1904" s="1" t="s">
        <v>1667</v>
      </c>
      <c r="AC1904" s="5">
        <v>42398</v>
      </c>
      <c r="AF1904" s="1">
        <v>10031</v>
      </c>
      <c r="AJ1904" s="1">
        <v>1920</v>
      </c>
      <c r="AL1904" s="1">
        <v>42</v>
      </c>
    </row>
    <row r="1905" spans="1:38" x14ac:dyDescent="0.2">
      <c r="A1905" s="2" t="str">
        <f>HYPERLINK("https://www.compass.com/listing/750-riverside-drive-unit-3d-manhattan-ny-10031/29434969256426833/","750 Riverside Dr, Unit 3D")</f>
        <v>750 Riverside Dr, Unit 3D</v>
      </c>
      <c r="B1905" s="2" t="str">
        <f t="shared" si="274"/>
        <v>750 Riverside Dr</v>
      </c>
      <c r="C1905" s="1" t="s">
        <v>82</v>
      </c>
      <c r="D1905" s="1" t="s">
        <v>41</v>
      </c>
      <c r="E1905" s="3">
        <v>510801</v>
      </c>
      <c r="F1905" s="1">
        <v>489.74251198465902</v>
      </c>
      <c r="M1905" s="4">
        <v>1043</v>
      </c>
      <c r="Q1905" s="1" t="s">
        <v>42</v>
      </c>
      <c r="S1905" s="1" t="s">
        <v>42</v>
      </c>
      <c r="T1905" s="1" t="s">
        <v>153</v>
      </c>
      <c r="AA1905" s="1">
        <v>510801.44</v>
      </c>
      <c r="AB1905" s="1" t="s">
        <v>1668</v>
      </c>
      <c r="AC1905" s="5">
        <v>42368</v>
      </c>
      <c r="AF1905" s="1">
        <v>10031</v>
      </c>
      <c r="AJ1905" s="1">
        <v>1920</v>
      </c>
      <c r="AL1905" s="1">
        <v>42</v>
      </c>
    </row>
    <row r="1906" spans="1:38" x14ac:dyDescent="0.2">
      <c r="A1906" s="2" t="str">
        <f>HYPERLINK("https://www.compass.com/listing/750-riverside-drive-unit-3e-manhattan-ny-10031/29434969566806769/","750 Riverside Dr, Unit 3E")</f>
        <v>750 Riverside Dr, Unit 3E</v>
      </c>
      <c r="B1906" s="2" t="str">
        <f t="shared" si="274"/>
        <v>750 Riverside Dr</v>
      </c>
      <c r="C1906" s="1" t="s">
        <v>82</v>
      </c>
      <c r="D1906" s="1" t="s">
        <v>41</v>
      </c>
      <c r="E1906" s="3">
        <v>418782</v>
      </c>
      <c r="F1906" s="1">
        <v>559.86898395721903</v>
      </c>
      <c r="M1906" s="1">
        <v>748</v>
      </c>
      <c r="Q1906" s="1" t="s">
        <v>42</v>
      </c>
      <c r="S1906" s="1" t="s">
        <v>42</v>
      </c>
      <c r="T1906" s="1" t="s">
        <v>153</v>
      </c>
      <c r="AA1906" s="1">
        <v>418782</v>
      </c>
      <c r="AB1906" s="1" t="s">
        <v>1669</v>
      </c>
      <c r="AC1906" s="5">
        <v>42356</v>
      </c>
      <c r="AF1906" s="1">
        <v>10031</v>
      </c>
      <c r="AJ1906" s="1">
        <v>1920</v>
      </c>
      <c r="AL1906" s="1">
        <v>42</v>
      </c>
    </row>
    <row r="1907" spans="1:38" x14ac:dyDescent="0.2">
      <c r="A1907" s="2" t="str">
        <f>HYPERLINK("https://www.compass.com/listing/750-riverside-drive-unit-4c-manhattan-ny-10031/29434971420687729/","750 Riverside Dr, Unit 4C")</f>
        <v>750 Riverside Dr, Unit 4C</v>
      </c>
      <c r="B1907" s="2" t="str">
        <f t="shared" si="274"/>
        <v>750 Riverside Dr</v>
      </c>
      <c r="C1907" s="1" t="s">
        <v>82</v>
      </c>
      <c r="D1907" s="1" t="s">
        <v>41</v>
      </c>
      <c r="E1907" s="3">
        <v>337770</v>
      </c>
      <c r="F1907" s="1">
        <v>511.77280303030301</v>
      </c>
      <c r="M1907" s="1">
        <v>660</v>
      </c>
      <c r="Q1907" s="1" t="s">
        <v>42</v>
      </c>
      <c r="S1907" s="1" t="s">
        <v>42</v>
      </c>
      <c r="T1907" s="1" t="s">
        <v>153</v>
      </c>
      <c r="AA1907" s="1">
        <v>337770.05</v>
      </c>
      <c r="AB1907" s="1" t="s">
        <v>1670</v>
      </c>
      <c r="AC1907" s="5">
        <v>42425</v>
      </c>
      <c r="AF1907" s="1">
        <v>10031</v>
      </c>
      <c r="AJ1907" s="1">
        <v>1920</v>
      </c>
      <c r="AL1907" s="1">
        <v>42</v>
      </c>
    </row>
    <row r="1908" spans="1:38" x14ac:dyDescent="0.2">
      <c r="A1908" s="2" t="str">
        <f>HYPERLINK("https://www.compass.com/listing/750-riverside-drive-unit-4e-manhattan-ny-10031/29434972183987553/","750 Riverside Dr, Unit 4E")</f>
        <v>750 Riverside Dr, Unit 4E</v>
      </c>
      <c r="B1908" s="2" t="str">
        <f t="shared" si="274"/>
        <v>750 Riverside Dr</v>
      </c>
      <c r="C1908" s="1" t="s">
        <v>82</v>
      </c>
      <c r="D1908" s="1" t="s">
        <v>41</v>
      </c>
      <c r="E1908" s="3">
        <v>342606</v>
      </c>
      <c r="F1908" s="1">
        <v>458.02907754010602</v>
      </c>
      <c r="M1908" s="1">
        <v>748</v>
      </c>
      <c r="Q1908" s="1" t="s">
        <v>42</v>
      </c>
      <c r="S1908" s="1" t="s">
        <v>42</v>
      </c>
      <c r="T1908" s="1" t="s">
        <v>153</v>
      </c>
      <c r="AA1908" s="1">
        <v>342605.75</v>
      </c>
      <c r="AB1908" s="1" t="s">
        <v>1671</v>
      </c>
      <c r="AC1908" s="5">
        <v>42417</v>
      </c>
      <c r="AF1908" s="1">
        <v>10031</v>
      </c>
      <c r="AJ1908" s="1">
        <v>1920</v>
      </c>
      <c r="AL1908" s="1">
        <v>42</v>
      </c>
    </row>
    <row r="1909" spans="1:38" x14ac:dyDescent="0.2">
      <c r="A1909" s="2" t="str">
        <f>HYPERLINK("https://www.compass.com/listing/750-riverside-drive-unit-4g-manhattan-ny-10031/29434972494429569/","750 Riverside Dr, Unit 4G")</f>
        <v>750 Riverside Dr, Unit 4G</v>
      </c>
      <c r="B1909" s="2" t="str">
        <f t="shared" si="274"/>
        <v>750 Riverside Dr</v>
      </c>
      <c r="C1909" s="1" t="s">
        <v>82</v>
      </c>
      <c r="D1909" s="1" t="s">
        <v>41</v>
      </c>
      <c r="E1909" s="3">
        <v>665000</v>
      </c>
      <c r="F1909" s="1">
        <v>801.20481927710796</v>
      </c>
      <c r="M1909" s="1">
        <v>830</v>
      </c>
      <c r="Q1909" s="1" t="s">
        <v>42</v>
      </c>
      <c r="S1909" s="1" t="s">
        <v>42</v>
      </c>
      <c r="T1909" s="1" t="s">
        <v>153</v>
      </c>
      <c r="AA1909" s="1">
        <v>665000</v>
      </c>
      <c r="AB1909" s="1" t="s">
        <v>1672</v>
      </c>
      <c r="AC1909" s="5">
        <v>42629</v>
      </c>
      <c r="AF1909" s="1">
        <v>10031</v>
      </c>
      <c r="AJ1909" s="1">
        <v>1920</v>
      </c>
      <c r="AL1909" s="1">
        <v>42</v>
      </c>
    </row>
    <row r="1910" spans="1:38" x14ac:dyDescent="0.2">
      <c r="A1910" s="2" t="str">
        <f>HYPERLINK("https://www.compass.com/listing/750-riverside-drive-unit-6c-manhattan-ny-10031/29434973937271601/","750 Riverside Dr, Unit 6C")</f>
        <v>750 Riverside Dr, Unit 6C</v>
      </c>
      <c r="B1910" s="2" t="str">
        <f t="shared" si="274"/>
        <v>750 Riverside Dr</v>
      </c>
      <c r="C1910" s="1" t="s">
        <v>82</v>
      </c>
      <c r="D1910" s="1" t="s">
        <v>41</v>
      </c>
      <c r="E1910" s="3">
        <v>517000</v>
      </c>
      <c r="F1910" s="1">
        <v>783.33333333333303</v>
      </c>
      <c r="M1910" s="1">
        <v>660</v>
      </c>
      <c r="Q1910" s="1" t="s">
        <v>42</v>
      </c>
      <c r="S1910" s="1" t="s">
        <v>42</v>
      </c>
      <c r="T1910" s="1" t="s">
        <v>153</v>
      </c>
      <c r="AA1910" s="1">
        <v>517000</v>
      </c>
      <c r="AB1910" s="1" t="s">
        <v>1673</v>
      </c>
      <c r="AC1910" s="5">
        <v>42914</v>
      </c>
      <c r="AF1910" s="1">
        <v>10031</v>
      </c>
      <c r="AJ1910" s="1">
        <v>1920</v>
      </c>
      <c r="AL1910" s="1">
        <v>42</v>
      </c>
    </row>
    <row r="1911" spans="1:38" x14ac:dyDescent="0.2">
      <c r="A1911" s="2" t="str">
        <f>HYPERLINK("https://www.compass.com/listing/505-west-173rd-street-manhattan-ny-10032/29435294944144305/","505 W 173rd St")</f>
        <v>505 W 173rd St</v>
      </c>
      <c r="B1911" s="2" t="str">
        <f>HYPERLINK("https://www.compass.com/building/505-w-173rd-st-manhattan-ny-10032/282006352916773749/","505 W 173rd St")</f>
        <v>505 W 173rd St</v>
      </c>
      <c r="C1911" s="1" t="s">
        <v>1184</v>
      </c>
      <c r="D1911" s="1" t="s">
        <v>41</v>
      </c>
      <c r="E1911" s="3">
        <v>950000</v>
      </c>
      <c r="H1911" s="1">
        <v>1</v>
      </c>
      <c r="I1911" s="1">
        <v>1</v>
      </c>
      <c r="J1911" s="1">
        <v>1</v>
      </c>
      <c r="O1911" s="1">
        <v>6377</v>
      </c>
      <c r="P1911" s="1">
        <v>6377</v>
      </c>
      <c r="Q1911" s="1" t="s">
        <v>42</v>
      </c>
      <c r="S1911" s="1" t="s">
        <v>42</v>
      </c>
      <c r="T1911" s="1" t="s">
        <v>153</v>
      </c>
      <c r="V1911" s="5">
        <v>42104</v>
      </c>
      <c r="AA1911" s="1">
        <v>950000</v>
      </c>
      <c r="AB1911" s="1" t="s">
        <v>177</v>
      </c>
      <c r="AC1911" s="5">
        <v>40134</v>
      </c>
      <c r="AF1911" s="1">
        <v>10032</v>
      </c>
      <c r="AI1911" s="1" t="s">
        <v>1674</v>
      </c>
      <c r="AJ1911" s="1">
        <v>1896</v>
      </c>
      <c r="AL1911" s="1">
        <v>4</v>
      </c>
    </row>
    <row r="1912" spans="1:38" x14ac:dyDescent="0.2">
      <c r="A1912" s="2" t="str">
        <f>HYPERLINK("https://www.compass.com/listing/505-west-173rd-street-unit-4-manhattan-ny-10033/29435299381719025/","505 W 173rd St, Unit 4")</f>
        <v>505 W 173rd St, Unit 4</v>
      </c>
      <c r="B1912" s="1" t="s">
        <v>1255</v>
      </c>
      <c r="C1912" s="1" t="s">
        <v>1184</v>
      </c>
      <c r="D1912" s="1" t="s">
        <v>41</v>
      </c>
      <c r="E1912" s="3">
        <v>497874</v>
      </c>
      <c r="F1912" s="1">
        <v>605.68613138686101</v>
      </c>
      <c r="M1912" s="1">
        <v>822</v>
      </c>
      <c r="Q1912" s="1" t="s">
        <v>42</v>
      </c>
      <c r="S1912" s="1" t="s">
        <v>42</v>
      </c>
      <c r="T1912" s="1" t="s">
        <v>153</v>
      </c>
      <c r="AA1912" s="1">
        <v>497874</v>
      </c>
      <c r="AB1912" s="1" t="s">
        <v>1675</v>
      </c>
      <c r="AC1912" s="5">
        <v>42179</v>
      </c>
      <c r="AF1912" s="1">
        <v>10033</v>
      </c>
    </row>
    <row r="1913" spans="1:38" x14ac:dyDescent="0.2">
      <c r="A1913" s="2" t="str">
        <f>HYPERLINK("https://www.compass.com/listing/69-bennett-avenue-unit-203-manhattan-ny-10033/29436861021802593/","69 Bennett Ave, Unit 203")</f>
        <v>69 Bennett Ave, Unit 203</v>
      </c>
      <c r="B1913" s="2" t="str">
        <f t="shared" ref="B1913:B1916" si="275">HYPERLINK("https://www.compass.com/building/69-bennett-ave-manhattan-ny-10033/282013522349526869/","69 Bennett Ave")</f>
        <v>69 Bennett Ave</v>
      </c>
      <c r="C1913" s="1" t="s">
        <v>122</v>
      </c>
      <c r="D1913" s="1" t="s">
        <v>41</v>
      </c>
      <c r="E1913" s="3">
        <v>658900</v>
      </c>
      <c r="F1913" s="1">
        <v>722.47807017543801</v>
      </c>
      <c r="M1913" s="1">
        <v>912</v>
      </c>
      <c r="Q1913" s="1" t="s">
        <v>42</v>
      </c>
      <c r="S1913" s="1" t="s">
        <v>42</v>
      </c>
      <c r="T1913" s="1" t="s">
        <v>153</v>
      </c>
      <c r="AA1913" s="1">
        <v>658900</v>
      </c>
      <c r="AB1913" s="1" t="s">
        <v>1676</v>
      </c>
      <c r="AC1913" s="5">
        <v>42606</v>
      </c>
      <c r="AF1913" s="1">
        <v>10033</v>
      </c>
      <c r="AJ1913" s="1">
        <v>1954</v>
      </c>
      <c r="AL1913" s="1">
        <v>60</v>
      </c>
    </row>
    <row r="1914" spans="1:38" x14ac:dyDescent="0.2">
      <c r="A1914" s="2" t="str">
        <f>HYPERLINK("https://www.compass.com/listing/69-bennett-avenue-unit-209-manhattan-ny-10033/29436861684442593/","69 Bennett Ave, Unit 209")</f>
        <v>69 Bennett Ave, Unit 209</v>
      </c>
      <c r="B1914" s="2" t="str">
        <f t="shared" si="275"/>
        <v>69 Bennett Ave</v>
      </c>
      <c r="C1914" s="1" t="s">
        <v>122</v>
      </c>
      <c r="D1914" s="1" t="s">
        <v>41</v>
      </c>
      <c r="E1914" s="3">
        <v>545000</v>
      </c>
      <c r="F1914" s="1">
        <v>711.48825065274104</v>
      </c>
      <c r="M1914" s="1">
        <v>766</v>
      </c>
      <c r="Q1914" s="1" t="s">
        <v>42</v>
      </c>
      <c r="S1914" s="1" t="s">
        <v>42</v>
      </c>
      <c r="T1914" s="1" t="s">
        <v>153</v>
      </c>
      <c r="AA1914" s="1">
        <v>545000</v>
      </c>
      <c r="AB1914" s="1" t="s">
        <v>1677</v>
      </c>
      <c r="AC1914" s="5">
        <v>42766</v>
      </c>
      <c r="AF1914" s="1">
        <v>10033</v>
      </c>
      <c r="AJ1914" s="1">
        <v>1954</v>
      </c>
      <c r="AL1914" s="1">
        <v>60</v>
      </c>
    </row>
    <row r="1915" spans="1:38" x14ac:dyDescent="0.2">
      <c r="A1915" s="2" t="str">
        <f>HYPERLINK("https://www.compass.com/listing/69-bennett-avenue-unit-606-manhattan-ny-10033/29436865350324385/","69 Bennett Ave, Unit 606")</f>
        <v>69 Bennett Ave, Unit 606</v>
      </c>
      <c r="B1915" s="2" t="str">
        <f t="shared" si="275"/>
        <v>69 Bennett Ave</v>
      </c>
      <c r="C1915" s="1" t="s">
        <v>122</v>
      </c>
      <c r="D1915" s="1" t="s">
        <v>41</v>
      </c>
      <c r="E1915" s="3">
        <v>712775</v>
      </c>
      <c r="F1915" s="1">
        <v>759.07880724174595</v>
      </c>
      <c r="M1915" s="1">
        <v>939</v>
      </c>
      <c r="Q1915" s="1" t="s">
        <v>42</v>
      </c>
      <c r="S1915" s="1" t="s">
        <v>42</v>
      </c>
      <c r="T1915" s="1" t="s">
        <v>153</v>
      </c>
      <c r="AA1915" s="1">
        <v>712775</v>
      </c>
      <c r="AB1915" s="1" t="s">
        <v>1678</v>
      </c>
      <c r="AC1915" s="5">
        <v>42692</v>
      </c>
      <c r="AF1915" s="1">
        <v>10033</v>
      </c>
      <c r="AJ1915" s="1">
        <v>1954</v>
      </c>
      <c r="AL1915" s="1">
        <v>60</v>
      </c>
    </row>
    <row r="1916" spans="1:38" x14ac:dyDescent="0.2">
      <c r="A1916" s="2" t="str">
        <f>HYPERLINK("https://www.compass.com/listing/69-bennett-avenue-unit-609-manhattan-ny-10033/29436866088461857/","69 Bennett Ave, Unit 609")</f>
        <v>69 Bennett Ave, Unit 609</v>
      </c>
      <c r="B1916" s="2" t="str">
        <f t="shared" si="275"/>
        <v>69 Bennett Ave</v>
      </c>
      <c r="C1916" s="1" t="s">
        <v>122</v>
      </c>
      <c r="D1916" s="1" t="s">
        <v>41</v>
      </c>
      <c r="E1916" s="3">
        <v>440482</v>
      </c>
      <c r="F1916" s="1">
        <v>575.04177545691903</v>
      </c>
      <c r="M1916" s="1">
        <v>766</v>
      </c>
      <c r="Q1916" s="1" t="s">
        <v>42</v>
      </c>
      <c r="S1916" s="1" t="s">
        <v>42</v>
      </c>
      <c r="T1916" s="1" t="s">
        <v>153</v>
      </c>
      <c r="AA1916" s="1">
        <v>440482</v>
      </c>
      <c r="AB1916" s="1" t="s">
        <v>1679</v>
      </c>
      <c r="AC1916" s="5">
        <v>42534</v>
      </c>
      <c r="AF1916" s="1">
        <v>10033</v>
      </c>
      <c r="AJ1916" s="1">
        <v>1954</v>
      </c>
      <c r="AL1916" s="1">
        <v>60</v>
      </c>
    </row>
    <row r="1917" spans="1:38" x14ac:dyDescent="0.2">
      <c r="A1917" s="2" t="str">
        <f>HYPERLINK("https://www.compass.com/listing/105-bennett-avenue-unit-22a-manhattan-ny-10033/29436868370163265/","105 Bennett Ave, Unit 22A")</f>
        <v>105 Bennett Ave, Unit 22A</v>
      </c>
      <c r="B1917" s="2" t="str">
        <f t="shared" ref="B1917:B1918" si="276">HYPERLINK("https://www.compass.com/building/105-bennett-ave-manhattan-ny-10033/282010034911706389/","105 Bennett Ave")</f>
        <v>105 Bennett Ave</v>
      </c>
      <c r="C1917" s="1" t="s">
        <v>122</v>
      </c>
      <c r="D1917" s="1" t="s">
        <v>41</v>
      </c>
      <c r="E1917" s="3">
        <v>544764</v>
      </c>
      <c r="F1917" s="1">
        <v>675.88554590570698</v>
      </c>
      <c r="G1917" s="1">
        <v>4</v>
      </c>
      <c r="H1917" s="1">
        <v>2</v>
      </c>
      <c r="I1917" s="1">
        <v>1</v>
      </c>
      <c r="J1917" s="1">
        <v>1</v>
      </c>
      <c r="M1917" s="1">
        <v>806</v>
      </c>
      <c r="N1917" s="1">
        <v>519</v>
      </c>
      <c r="O1917" s="1">
        <v>762</v>
      </c>
      <c r="P1917" s="1">
        <v>243</v>
      </c>
      <c r="Q1917" s="1" t="s">
        <v>42</v>
      </c>
      <c r="S1917" s="1" t="s">
        <v>42</v>
      </c>
      <c r="T1917" s="1" t="s">
        <v>153</v>
      </c>
      <c r="U1917" s="1">
        <v>11</v>
      </c>
      <c r="V1917" s="5">
        <v>43366</v>
      </c>
      <c r="W1917" s="5">
        <v>42462</v>
      </c>
      <c r="X1917" s="1">
        <v>548000</v>
      </c>
      <c r="Y1917" s="1">
        <v>535000</v>
      </c>
      <c r="Z1917" s="5">
        <v>42473</v>
      </c>
      <c r="AA1917" s="1">
        <v>544763.75</v>
      </c>
      <c r="AB1917" s="1" t="s">
        <v>1680</v>
      </c>
      <c r="AC1917" s="5">
        <v>42789</v>
      </c>
      <c r="AF1917" s="1">
        <v>10033</v>
      </c>
      <c r="AJ1917" s="1">
        <v>1939</v>
      </c>
      <c r="AL1917" s="1">
        <v>65</v>
      </c>
    </row>
    <row r="1918" spans="1:38" x14ac:dyDescent="0.2">
      <c r="A1918" s="2" t="str">
        <f>HYPERLINK("https://www.compass.com/listing/105-bennett-avenue-unit-63a-manhattan-ny-10033/29436872698746497/","105 Bennett Ave, Unit 63A")</f>
        <v>105 Bennett Ave, Unit 63A</v>
      </c>
      <c r="B1918" s="2" t="str">
        <f t="shared" si="276"/>
        <v>105 Bennett Ave</v>
      </c>
      <c r="C1918" s="1" t="s">
        <v>122</v>
      </c>
      <c r="D1918" s="1" t="s">
        <v>41</v>
      </c>
      <c r="E1918" s="3">
        <v>535000</v>
      </c>
      <c r="F1918" s="1">
        <v>719.08602150537604</v>
      </c>
      <c r="M1918" s="1">
        <v>744</v>
      </c>
      <c r="Q1918" s="1" t="s">
        <v>42</v>
      </c>
      <c r="S1918" s="1" t="s">
        <v>42</v>
      </c>
      <c r="T1918" s="1" t="s">
        <v>153</v>
      </c>
      <c r="AA1918" s="1">
        <v>535000</v>
      </c>
      <c r="AB1918" s="1" t="s">
        <v>1681</v>
      </c>
      <c r="AC1918" s="5">
        <v>43012</v>
      </c>
      <c r="AF1918" s="1">
        <v>10033</v>
      </c>
      <c r="AJ1918" s="1">
        <v>1939</v>
      </c>
      <c r="AL1918" s="1">
        <v>65</v>
      </c>
    </row>
    <row r="1919" spans="1:38" x14ac:dyDescent="0.2">
      <c r="A1919" s="2" t="str">
        <f>HYPERLINK("https://www.compass.com/listing/52-convent-avenue-unit-1a-manhattan-ny-10027/29515678025373985/","52 Convent Ave, Unit 1A")</f>
        <v>52 Convent Ave, Unit 1A</v>
      </c>
      <c r="B1919" s="2" t="str">
        <f>HYPERLINK("https://www.compass.com/building/52-convent-avenue-manhattan-ny/292889753865529749/","52 Convent Avenue ")</f>
        <v xml:space="preserve">52 Convent Avenue </v>
      </c>
      <c r="C1919" s="1" t="s">
        <v>95</v>
      </c>
      <c r="D1919" s="1" t="s">
        <v>41</v>
      </c>
      <c r="E1919" s="3">
        <v>925000</v>
      </c>
      <c r="F1919" s="1">
        <v>977.80126849894202</v>
      </c>
      <c r="G1919" s="1">
        <v>4</v>
      </c>
      <c r="H1919" s="1">
        <v>2</v>
      </c>
      <c r="I1919" s="1">
        <v>2</v>
      </c>
      <c r="J1919" s="1">
        <v>2</v>
      </c>
      <c r="K1919" s="1">
        <v>2</v>
      </c>
      <c r="M1919" s="1">
        <v>946</v>
      </c>
      <c r="N1919" s="1">
        <v>608</v>
      </c>
      <c r="O1919" s="1">
        <v>757</v>
      </c>
      <c r="P1919" s="1">
        <v>149</v>
      </c>
      <c r="Q1919" s="1" t="s">
        <v>42</v>
      </c>
      <c r="S1919" s="1" t="s">
        <v>42</v>
      </c>
      <c r="T1919" s="1" t="s">
        <v>153</v>
      </c>
      <c r="U1919" s="1">
        <v>210</v>
      </c>
      <c r="V1919" s="5">
        <v>44110</v>
      </c>
      <c r="W1919" s="5">
        <v>43746</v>
      </c>
      <c r="Y1919" s="1">
        <v>950000</v>
      </c>
      <c r="Z1919" s="5">
        <v>44050</v>
      </c>
      <c r="AA1919" s="1">
        <v>925000</v>
      </c>
      <c r="AB1919" s="1" t="s">
        <v>1682</v>
      </c>
      <c r="AC1919" s="5">
        <v>44106</v>
      </c>
      <c r="AF1919" s="1">
        <v>10027</v>
      </c>
      <c r="AI1919" s="1" t="s">
        <v>96</v>
      </c>
      <c r="AJ1919" s="1">
        <v>2018</v>
      </c>
      <c r="AK1919" s="1" t="s">
        <v>86</v>
      </c>
      <c r="AL1919" s="1">
        <v>17</v>
      </c>
    </row>
    <row r="1920" spans="1:38" x14ac:dyDescent="0.2">
      <c r="A1920" s="2" t="str">
        <f>HYPERLINK("https://www.compass.com/listing/2066-5th-avenue-unit-1d-manhattan-ny-10027/317781687618217457/","2066 5th Ave, Unit 1D")</f>
        <v>2066 5th Ave, Unit 1D</v>
      </c>
      <c r="B1920" s="2" t="str">
        <f>HYPERLINK("https://www.compass.com/building/2066-5th-ave-manhattan-ny-10027/567527565919095541/","2066 5th Ave")</f>
        <v>2066 5th Ave</v>
      </c>
      <c r="C1920" s="1" t="s">
        <v>141</v>
      </c>
      <c r="D1920" s="1" t="s">
        <v>41</v>
      </c>
      <c r="E1920" s="3">
        <v>549000</v>
      </c>
      <c r="F1920" s="1">
        <v>814.540059347181</v>
      </c>
      <c r="M1920" s="1">
        <v>674</v>
      </c>
      <c r="Q1920" s="1" t="s">
        <v>42</v>
      </c>
      <c r="S1920" s="1" t="s">
        <v>42</v>
      </c>
      <c r="T1920" s="1" t="s">
        <v>153</v>
      </c>
      <c r="AA1920" s="1">
        <v>549000</v>
      </c>
      <c r="AB1920" s="1" t="s">
        <v>1683</v>
      </c>
      <c r="AC1920" s="5">
        <v>43424</v>
      </c>
      <c r="AF1920" s="1">
        <v>10027</v>
      </c>
      <c r="AL1920" s="1">
        <v>10</v>
      </c>
    </row>
    <row r="1921" spans="1:38" x14ac:dyDescent="0.2">
      <c r="A1921" s="2" t="str">
        <f>HYPERLINK("https://www.compass.com/listing/115-nassau-street-unit-23a-manhattan-ny-10038/324745320411650225/","115 Nassau St, Unit 23A")</f>
        <v>115 Nassau St, Unit 23A</v>
      </c>
      <c r="B1921" s="2" t="str">
        <f>HYPERLINK("https://www.compass.com/building/115-nassau-street-manhattan-ny/282058508331940421/","115 Nassau Street")</f>
        <v>115 Nassau Street</v>
      </c>
      <c r="C1921" s="1" t="s">
        <v>1453</v>
      </c>
      <c r="D1921" s="1" t="s">
        <v>41</v>
      </c>
      <c r="E1921" s="3">
        <v>2500000</v>
      </c>
      <c r="F1921" s="1">
        <v>1538.4615384615299</v>
      </c>
      <c r="M1921" s="4">
        <v>1625</v>
      </c>
      <c r="Q1921" s="1" t="s">
        <v>42</v>
      </c>
      <c r="S1921" s="1" t="s">
        <v>42</v>
      </c>
      <c r="T1921" s="1" t="s">
        <v>153</v>
      </c>
      <c r="AA1921" s="1">
        <v>2500000</v>
      </c>
      <c r="AB1921" s="1" t="s">
        <v>1684</v>
      </c>
      <c r="AC1921" s="5">
        <v>43643</v>
      </c>
      <c r="AF1921" s="1">
        <v>10038</v>
      </c>
      <c r="AJ1921" s="1">
        <v>2013</v>
      </c>
    </row>
    <row r="1922" spans="1:38" x14ac:dyDescent="0.2">
      <c r="A1922" s="2" t="str">
        <f>HYPERLINK("https://www.compass.com/listing/71-reade-street-unit-ruphb-manhattan-ny-10007/324761588598610209/","71 Reade St, Unit RUPHB")</f>
        <v>71 Reade St, Unit RUPHB</v>
      </c>
      <c r="B1922" s="2" t="str">
        <f>HYPERLINK("https://www.compass.com/building/reade-chambers-manhattan-ny/281897219919982101/","Reade Chambers")</f>
        <v>Reade Chambers</v>
      </c>
      <c r="C1922" s="1" t="s">
        <v>65</v>
      </c>
      <c r="D1922" s="1" t="s">
        <v>41</v>
      </c>
      <c r="E1922" s="3">
        <v>849089</v>
      </c>
      <c r="F1922" s="1">
        <v>370.78122270742301</v>
      </c>
      <c r="M1922" s="4">
        <v>2290</v>
      </c>
      <c r="Q1922" s="1" t="s">
        <v>42</v>
      </c>
      <c r="S1922" s="1" t="s">
        <v>42</v>
      </c>
      <c r="T1922" s="1" t="s">
        <v>153</v>
      </c>
      <c r="AA1922" s="1">
        <v>849089</v>
      </c>
      <c r="AB1922" s="1" t="s">
        <v>1685</v>
      </c>
      <c r="AC1922" s="5">
        <v>43644</v>
      </c>
      <c r="AF1922" s="1">
        <v>10007</v>
      </c>
      <c r="AI1922" s="1" t="s">
        <v>51</v>
      </c>
      <c r="AJ1922" s="1">
        <v>2015</v>
      </c>
      <c r="AK1922" s="1" t="s">
        <v>99</v>
      </c>
      <c r="AL1922" s="1">
        <v>18</v>
      </c>
    </row>
    <row r="1923" spans="1:38" x14ac:dyDescent="0.2">
      <c r="A1923" s="2" t="str">
        <f>HYPERLINK("https://www.compass.com/listing/2066-5th-avenue-unit-1c-manhattan-ny-10027/324936355230155457/","2066 5th Ave, Unit 1C")</f>
        <v>2066 5th Ave, Unit 1C</v>
      </c>
      <c r="B1923" s="2" t="str">
        <f>HYPERLINK("https://www.compass.com/building/2066-5th-ave-manhattan-ny-10027/567527565919095541/","2066 5th Ave")</f>
        <v>2066 5th Ave</v>
      </c>
      <c r="C1923" s="1" t="s">
        <v>141</v>
      </c>
      <c r="D1923" s="1" t="s">
        <v>41</v>
      </c>
      <c r="E1923" s="3">
        <v>624000</v>
      </c>
      <c r="F1923" s="1">
        <v>1200</v>
      </c>
      <c r="M1923" s="1">
        <v>520</v>
      </c>
      <c r="Q1923" s="1" t="s">
        <v>42</v>
      </c>
      <c r="S1923" s="1" t="s">
        <v>42</v>
      </c>
      <c r="T1923" s="1" t="s">
        <v>153</v>
      </c>
      <c r="AA1923" s="1">
        <v>624000</v>
      </c>
      <c r="AB1923" s="1" t="s">
        <v>1686</v>
      </c>
      <c r="AC1923" s="5">
        <v>43424</v>
      </c>
      <c r="AF1923" s="1">
        <v>10027</v>
      </c>
      <c r="AL1923" s="1">
        <v>10</v>
      </c>
    </row>
    <row r="1924" spans="1:38" x14ac:dyDescent="0.2">
      <c r="A1924" s="2" t="str">
        <f>HYPERLINK("https://www.compass.com/listing/57-west-127th-street-unit-g-manhattan-ny-10027/338200687976228801/","57 W 127th St, Unit G")</f>
        <v>57 W 127th St, Unit G</v>
      </c>
      <c r="B1924" s="2" t="str">
        <f>HYPERLINK("https://www.compass.com/building/san-giorgio-manhattan-ny/281983292037763781/","San Giorgio")</f>
        <v>San Giorgio</v>
      </c>
      <c r="C1924" s="1" t="s">
        <v>141</v>
      </c>
      <c r="D1924" s="1" t="s">
        <v>41</v>
      </c>
      <c r="E1924" s="3">
        <v>999997</v>
      </c>
      <c r="F1924" s="1">
        <v>1014.1957403651101</v>
      </c>
      <c r="M1924" s="1">
        <v>986</v>
      </c>
      <c r="Q1924" s="1" t="s">
        <v>42</v>
      </c>
      <c r="S1924" s="1" t="s">
        <v>42</v>
      </c>
      <c r="T1924" s="1" t="s">
        <v>153</v>
      </c>
      <c r="AA1924" s="1">
        <v>999997</v>
      </c>
      <c r="AB1924" s="1" t="s">
        <v>1687</v>
      </c>
      <c r="AC1924" s="5">
        <v>43697</v>
      </c>
      <c r="AF1924" s="1">
        <v>10027</v>
      </c>
      <c r="AJ1924" s="1">
        <v>1899</v>
      </c>
      <c r="AL1924" s="1">
        <v>6</v>
      </c>
    </row>
    <row r="1925" spans="1:38" x14ac:dyDescent="0.2">
      <c r="A1925" s="2" t="str">
        <f>HYPERLINK("https://www.compass.com/listing/39-lispenard-street-unit-5-manhattan-ny-10013/339051573895885089/","39 Lispenard St, Unit 5")</f>
        <v>39 Lispenard St, Unit 5</v>
      </c>
      <c r="B1925" s="2" t="str">
        <f>HYPERLINK("https://www.compass.com/building/39-lispenard-st-manhattan-ny-10013/292816461573955557/","39 Lispenard St")</f>
        <v>39 Lispenard St</v>
      </c>
      <c r="C1925" s="1" t="s">
        <v>65</v>
      </c>
      <c r="D1925" s="1" t="s">
        <v>41</v>
      </c>
      <c r="E1925" s="3">
        <v>6109500</v>
      </c>
      <c r="F1925" s="1">
        <v>1677.97308431749</v>
      </c>
      <c r="M1925" s="4">
        <v>3641</v>
      </c>
      <c r="Q1925" s="1" t="s">
        <v>42</v>
      </c>
      <c r="S1925" s="1" t="s">
        <v>42</v>
      </c>
      <c r="T1925" s="1" t="s">
        <v>153</v>
      </c>
      <c r="AA1925" s="1">
        <v>6109500</v>
      </c>
      <c r="AB1925" s="1" t="s">
        <v>1688</v>
      </c>
      <c r="AC1925" s="5">
        <v>43705</v>
      </c>
      <c r="AF1925" s="1">
        <v>10013</v>
      </c>
      <c r="AJ1925" s="1">
        <v>1910</v>
      </c>
      <c r="AL1925" s="1">
        <v>6</v>
      </c>
    </row>
    <row r="1926" spans="1:38" x14ac:dyDescent="0.2">
      <c r="A1926" s="2" t="str">
        <f>HYPERLINK("https://www.compass.com/listing/450-west-42nd-street-unit-54d-manhattan-ny-10036/339060051884763233/","450 W 42nd St, Unit 54D")</f>
        <v>450 W 42nd St, Unit 54D</v>
      </c>
      <c r="B1926" s="2" t="str">
        <f>HYPERLINK("https://www.compass.com/building/mima-manhattan-ny/282025546404079525/","MiMA")</f>
        <v>MiMA</v>
      </c>
      <c r="C1926" s="1" t="s">
        <v>67</v>
      </c>
      <c r="D1926" s="1" t="s">
        <v>41</v>
      </c>
      <c r="E1926" s="3">
        <v>2720000</v>
      </c>
      <c r="F1926" s="1">
        <v>2430.7417336907902</v>
      </c>
      <c r="M1926" s="4">
        <v>1119</v>
      </c>
      <c r="Q1926" s="1" t="s">
        <v>42</v>
      </c>
      <c r="S1926" s="1" t="s">
        <v>42</v>
      </c>
      <c r="T1926" s="1" t="s">
        <v>153</v>
      </c>
      <c r="AA1926" s="1">
        <v>2720000</v>
      </c>
      <c r="AB1926" s="1" t="s">
        <v>1689</v>
      </c>
      <c r="AC1926" s="5">
        <v>43704</v>
      </c>
      <c r="AF1926" s="1">
        <v>10036</v>
      </c>
      <c r="AI1926" s="1" t="s">
        <v>1450</v>
      </c>
      <c r="AJ1926" s="1">
        <v>2012</v>
      </c>
      <c r="AK1926" s="1" t="s">
        <v>49</v>
      </c>
      <c r="AL1926" s="1">
        <v>943</v>
      </c>
    </row>
    <row r="1927" spans="1:38" x14ac:dyDescent="0.2">
      <c r="A1927" s="2" t="str">
        <f>HYPERLINK("https://www.compass.com/listing/159-west-126th-street-unit-3a-manhattan-ny-10027/345344522472553569/","159 W 126th St, Unit 3A")</f>
        <v>159 W 126th St, Unit 3A</v>
      </c>
      <c r="B1927" s="2" t="str">
        <f>HYPERLINK("https://www.compass.com/building/159-w-126th-st-manhattan-ny-10027/281979329234174885/","159 W 126th St")</f>
        <v>159 W 126th St</v>
      </c>
      <c r="C1927" s="1" t="s">
        <v>141</v>
      </c>
      <c r="D1927" s="1" t="s">
        <v>41</v>
      </c>
      <c r="E1927" s="3">
        <v>124555</v>
      </c>
      <c r="F1927" s="1">
        <v>126.96738022426</v>
      </c>
      <c r="M1927" s="1">
        <v>981</v>
      </c>
      <c r="Q1927" s="1" t="s">
        <v>42</v>
      </c>
      <c r="S1927" s="1" t="s">
        <v>42</v>
      </c>
      <c r="T1927" s="1" t="s">
        <v>153</v>
      </c>
      <c r="AA1927" s="1">
        <v>124555</v>
      </c>
      <c r="AB1927" s="1" t="s">
        <v>1690</v>
      </c>
      <c r="AC1927" s="5">
        <v>43713</v>
      </c>
      <c r="AF1927" s="1">
        <v>10027</v>
      </c>
      <c r="AI1927" s="1" t="s">
        <v>1657</v>
      </c>
      <c r="AJ1927" s="1">
        <v>1910</v>
      </c>
      <c r="AL1927" s="1">
        <v>10</v>
      </c>
    </row>
    <row r="1928" spans="1:38" x14ac:dyDescent="0.2">
      <c r="A1928" s="2" t="str">
        <f>HYPERLINK("https://www.compass.com/listing/115-nassau-street-unit-49b-manhattan-ny-10038/35160084594096593/","115 Nassau St, Unit 49B")</f>
        <v>115 Nassau St, Unit 49B</v>
      </c>
      <c r="B1928" s="2" t="str">
        <f>HYPERLINK("https://www.compass.com/building/115-nassau-street-manhattan-ny/282058508331940421/","115 Nassau Street")</f>
        <v>115 Nassau Street</v>
      </c>
      <c r="C1928" s="1" t="s">
        <v>1453</v>
      </c>
      <c r="D1928" s="1" t="s">
        <v>41</v>
      </c>
      <c r="E1928" s="3">
        <v>4531213</v>
      </c>
      <c r="F1928" s="1">
        <v>2882.4506997455401</v>
      </c>
      <c r="M1928" s="4">
        <v>1572</v>
      </c>
      <c r="Q1928" s="1" t="s">
        <v>42</v>
      </c>
      <c r="S1928" s="1" t="s">
        <v>42</v>
      </c>
      <c r="T1928" s="1" t="s">
        <v>153</v>
      </c>
      <c r="AA1928" s="1">
        <v>4531212.5</v>
      </c>
      <c r="AB1928" s="1" t="s">
        <v>1691</v>
      </c>
      <c r="AC1928" s="5">
        <v>43194</v>
      </c>
      <c r="AF1928" s="1">
        <v>10038</v>
      </c>
      <c r="AJ1928" s="1">
        <v>2013</v>
      </c>
    </row>
    <row r="1929" spans="1:38" x14ac:dyDescent="0.2">
      <c r="A1929" s="2" t="str">
        <f>HYPERLINK("https://www.compass.com/listing/15-hubert-street-unit-5b-manhattan-ny-10013/35161834424233793/","15 Hubert St, Unit 5B")</f>
        <v>15 Hubert St, Unit 5B</v>
      </c>
      <c r="B1929" s="2" t="str">
        <f>HYPERLINK("https://www.compass.com/building/15-hubert-st-manhattan-ny-10013/281929572709086677/","15 Hubert St")</f>
        <v>15 Hubert St</v>
      </c>
      <c r="C1929" s="1" t="s">
        <v>65</v>
      </c>
      <c r="D1929" s="1" t="s">
        <v>41</v>
      </c>
      <c r="E1929" s="3">
        <v>6106406</v>
      </c>
      <c r="F1929" s="1">
        <v>2121.7533009034</v>
      </c>
      <c r="M1929" s="4">
        <v>2878</v>
      </c>
      <c r="Q1929" s="1" t="s">
        <v>42</v>
      </c>
      <c r="S1929" s="1" t="s">
        <v>42</v>
      </c>
      <c r="T1929" s="1" t="s">
        <v>153</v>
      </c>
      <c r="AA1929" s="1">
        <v>6106406</v>
      </c>
      <c r="AB1929" s="1" t="s">
        <v>1692</v>
      </c>
      <c r="AC1929" s="5">
        <v>43279</v>
      </c>
      <c r="AF1929" s="1">
        <v>10013</v>
      </c>
      <c r="AI1929" s="1" t="s">
        <v>107</v>
      </c>
      <c r="AJ1929" s="1">
        <v>1867</v>
      </c>
      <c r="AK1929" s="1" t="s">
        <v>59</v>
      </c>
      <c r="AL1929" s="1">
        <v>13</v>
      </c>
    </row>
    <row r="1930" spans="1:38" x14ac:dyDescent="0.2">
      <c r="A1930" s="2" t="str">
        <f>HYPERLINK("https://www.compass.com/listing/450-west-42nd-street-unit-52d-manhattan-ny-10036/35913906677394513/","450 W 42nd St, Unit 52D")</f>
        <v>450 W 42nd St, Unit 52D</v>
      </c>
      <c r="B1930" s="2" t="str">
        <f>HYPERLINK("https://www.compass.com/building/mima-manhattan-ny/282025546404079525/","MiMA")</f>
        <v>MiMA</v>
      </c>
      <c r="C1930" s="1" t="s">
        <v>67</v>
      </c>
      <c r="D1930" s="1" t="s">
        <v>41</v>
      </c>
      <c r="E1930" s="3">
        <v>2157142</v>
      </c>
      <c r="F1930" s="1">
        <v>2891.61160857908</v>
      </c>
      <c r="M1930" s="1">
        <v>746</v>
      </c>
      <c r="Q1930" s="1" t="s">
        <v>42</v>
      </c>
      <c r="S1930" s="1" t="s">
        <v>42</v>
      </c>
      <c r="T1930" s="1" t="s">
        <v>153</v>
      </c>
      <c r="AA1930" s="1">
        <v>2157142.2599999998</v>
      </c>
      <c r="AB1930" s="1" t="s">
        <v>1693</v>
      </c>
      <c r="AC1930" s="5">
        <v>43297</v>
      </c>
      <c r="AF1930" s="1">
        <v>10036</v>
      </c>
      <c r="AI1930" s="1" t="s">
        <v>1450</v>
      </c>
      <c r="AJ1930" s="1">
        <v>2012</v>
      </c>
      <c r="AK1930" s="1" t="s">
        <v>49</v>
      </c>
      <c r="AL1930" s="1">
        <v>943</v>
      </c>
    </row>
    <row r="1931" spans="1:38" x14ac:dyDescent="0.2">
      <c r="A1931" s="2" t="str">
        <f>HYPERLINK("https://www.compass.com/listing/71-reade-street-unit-pkg7-manhattan-ny-10007/364077471252478065/","71 Reade St, Unit PKG7")</f>
        <v>71 Reade St, Unit PKG7</v>
      </c>
      <c r="B1931" s="2" t="str">
        <f t="shared" ref="B1931:B1939" si="277">HYPERLINK("https://www.compass.com/building/reade-chambers-manhattan-ny/281897219919982101/","Reade Chambers")</f>
        <v>Reade Chambers</v>
      </c>
      <c r="C1931" s="1" t="s">
        <v>65</v>
      </c>
      <c r="D1931" s="1" t="s">
        <v>41</v>
      </c>
      <c r="E1931" s="3">
        <v>250000</v>
      </c>
      <c r="F1931" s="1">
        <v>1666.6666666666599</v>
      </c>
      <c r="M1931" s="1">
        <v>150</v>
      </c>
      <c r="Q1931" s="1" t="s">
        <v>42</v>
      </c>
      <c r="S1931" s="1" t="s">
        <v>42</v>
      </c>
      <c r="T1931" s="1" t="s">
        <v>153</v>
      </c>
      <c r="AA1931" s="1">
        <v>250000</v>
      </c>
      <c r="AB1931" s="1" t="s">
        <v>1694</v>
      </c>
      <c r="AC1931" s="5">
        <v>42089</v>
      </c>
      <c r="AF1931" s="1">
        <v>10007</v>
      </c>
      <c r="AI1931" s="1" t="s">
        <v>51</v>
      </c>
      <c r="AJ1931" s="1">
        <v>2015</v>
      </c>
      <c r="AK1931" s="1" t="s">
        <v>99</v>
      </c>
      <c r="AL1931" s="1">
        <v>18</v>
      </c>
    </row>
    <row r="1932" spans="1:38" x14ac:dyDescent="0.2">
      <c r="A1932" s="2" t="str">
        <f>HYPERLINK("https://www.compass.com/listing/71-reade-street-unit-ru2a-manhattan-ny-10007/380647472360642801/","71 Reade St, Unit RU2A")</f>
        <v>71 Reade St, Unit RU2A</v>
      </c>
      <c r="B1932" s="2" t="str">
        <f t="shared" si="277"/>
        <v>Reade Chambers</v>
      </c>
      <c r="C1932" s="1" t="s">
        <v>65</v>
      </c>
      <c r="D1932" s="1" t="s">
        <v>41</v>
      </c>
      <c r="E1932" s="3">
        <v>1982496</v>
      </c>
      <c r="F1932" s="1">
        <v>2000.5007568113001</v>
      </c>
      <c r="M1932" s="1">
        <v>991</v>
      </c>
      <c r="Q1932" s="1" t="s">
        <v>42</v>
      </c>
      <c r="S1932" s="1" t="s">
        <v>42</v>
      </c>
      <c r="T1932" s="1" t="s">
        <v>153</v>
      </c>
      <c r="AA1932" s="1">
        <v>1982496.25</v>
      </c>
      <c r="AB1932" s="1" t="s">
        <v>1695</v>
      </c>
      <c r="AC1932" s="5">
        <v>42240</v>
      </c>
      <c r="AF1932" s="1">
        <v>10007</v>
      </c>
      <c r="AI1932" s="1" t="s">
        <v>51</v>
      </c>
      <c r="AJ1932" s="1">
        <v>2015</v>
      </c>
      <c r="AK1932" s="1" t="s">
        <v>99</v>
      </c>
      <c r="AL1932" s="1">
        <v>18</v>
      </c>
    </row>
    <row r="1933" spans="1:38" x14ac:dyDescent="0.2">
      <c r="A1933" s="2" t="str">
        <f>HYPERLINK("https://www.compass.com/listing/71-reade-street-unit-ru3b-manhattan-ny-10007/380647475439093521/","71 Reade St, Unit RU3B")</f>
        <v>71 Reade St, Unit RU3B</v>
      </c>
      <c r="B1933" s="2" t="str">
        <f t="shared" si="277"/>
        <v>Reade Chambers</v>
      </c>
      <c r="C1933" s="1" t="s">
        <v>65</v>
      </c>
      <c r="D1933" s="1" t="s">
        <v>41</v>
      </c>
      <c r="E1933" s="3">
        <v>3769525</v>
      </c>
      <c r="F1933" s="1">
        <v>1948.07493540051</v>
      </c>
      <c r="M1933" s="4">
        <v>1935</v>
      </c>
      <c r="Q1933" s="1" t="s">
        <v>42</v>
      </c>
      <c r="S1933" s="1" t="s">
        <v>42</v>
      </c>
      <c r="T1933" s="1" t="s">
        <v>153</v>
      </c>
      <c r="AA1933" s="1">
        <v>3769525</v>
      </c>
      <c r="AB1933" s="1" t="s">
        <v>1696</v>
      </c>
      <c r="AC1933" s="5">
        <v>42226</v>
      </c>
      <c r="AF1933" s="1">
        <v>10007</v>
      </c>
      <c r="AI1933" s="1" t="s">
        <v>51</v>
      </c>
      <c r="AJ1933" s="1">
        <v>2015</v>
      </c>
      <c r="AK1933" s="1" t="s">
        <v>99</v>
      </c>
      <c r="AL1933" s="1">
        <v>18</v>
      </c>
    </row>
    <row r="1934" spans="1:38" x14ac:dyDescent="0.2">
      <c r="A1934" s="2" t="str">
        <f>HYPERLINK("https://www.compass.com/listing/71-reade-street-unit-ru4a-manhattan-ny-10007/380647478442831121/","71 Reade St, Unit RU4A")</f>
        <v>71 Reade St, Unit RU4A</v>
      </c>
      <c r="B1934" s="2" t="str">
        <f t="shared" si="277"/>
        <v>Reade Chambers</v>
      </c>
      <c r="C1934" s="1" t="s">
        <v>65</v>
      </c>
      <c r="D1934" s="1" t="s">
        <v>41</v>
      </c>
      <c r="E1934" s="3">
        <v>5958763</v>
      </c>
      <c r="F1934" s="1">
        <v>38946.160130718898</v>
      </c>
      <c r="M1934" s="1">
        <v>153</v>
      </c>
      <c r="Q1934" s="1" t="s">
        <v>42</v>
      </c>
      <c r="S1934" s="1" t="s">
        <v>42</v>
      </c>
      <c r="T1934" s="1" t="s">
        <v>153</v>
      </c>
      <c r="AA1934" s="1">
        <v>5958762.5</v>
      </c>
      <c r="AB1934" s="1" t="s">
        <v>1697</v>
      </c>
      <c r="AC1934" s="5">
        <v>42229</v>
      </c>
      <c r="AF1934" s="1">
        <v>10007</v>
      </c>
      <c r="AI1934" s="1" t="s">
        <v>51</v>
      </c>
      <c r="AJ1934" s="1">
        <v>2015</v>
      </c>
      <c r="AK1934" s="1" t="s">
        <v>99</v>
      </c>
      <c r="AL1934" s="1">
        <v>18</v>
      </c>
    </row>
    <row r="1935" spans="1:38" x14ac:dyDescent="0.2">
      <c r="A1935" s="2" t="str">
        <f>HYPERLINK("https://www.compass.com/listing/71-reade-street-unit-ruphc-manhattan-ny-10007/380647484868391025/","71 Reade St, Unit RUPHC")</f>
        <v>71 Reade St, Unit RUPHC</v>
      </c>
      <c r="B1935" s="2" t="str">
        <f t="shared" si="277"/>
        <v>Reade Chambers</v>
      </c>
      <c r="C1935" s="1" t="s">
        <v>65</v>
      </c>
      <c r="D1935" s="1" t="s">
        <v>41</v>
      </c>
      <c r="E1935" s="3">
        <v>4533213</v>
      </c>
      <c r="F1935" s="1">
        <v>2794.8289149198499</v>
      </c>
      <c r="M1935" s="4">
        <v>1622</v>
      </c>
      <c r="Q1935" s="1" t="s">
        <v>42</v>
      </c>
      <c r="S1935" s="1" t="s">
        <v>42</v>
      </c>
      <c r="T1935" s="1" t="s">
        <v>153</v>
      </c>
      <c r="AA1935" s="1">
        <v>4533212.5</v>
      </c>
      <c r="AB1935" s="1" t="s">
        <v>1698</v>
      </c>
      <c r="AC1935" s="5">
        <v>42255</v>
      </c>
      <c r="AF1935" s="1">
        <v>10007</v>
      </c>
      <c r="AI1935" s="1" t="s">
        <v>51</v>
      </c>
      <c r="AJ1935" s="1">
        <v>2015</v>
      </c>
      <c r="AK1935" s="1" t="s">
        <v>99</v>
      </c>
      <c r="AL1935" s="1">
        <v>18</v>
      </c>
    </row>
    <row r="1936" spans="1:38" x14ac:dyDescent="0.2">
      <c r="A1936" s="2" t="str">
        <f>HYPERLINK("https://www.compass.com/listing/71-reade-street-unit-ruphb-manhattan-ny-10007/380647485579442465/","71 Reade St, Unit RUPHB")</f>
        <v>71 Reade St, Unit RUPHB</v>
      </c>
      <c r="B1936" s="2" t="str">
        <f t="shared" si="277"/>
        <v>Reade Chambers</v>
      </c>
      <c r="C1936" s="1" t="s">
        <v>65</v>
      </c>
      <c r="D1936" s="1" t="s">
        <v>41</v>
      </c>
      <c r="E1936" s="3">
        <v>6111500</v>
      </c>
      <c r="F1936" s="1">
        <v>2668.7772925764102</v>
      </c>
      <c r="M1936" s="4">
        <v>2290</v>
      </c>
      <c r="Q1936" s="1" t="s">
        <v>42</v>
      </c>
      <c r="S1936" s="1" t="s">
        <v>42</v>
      </c>
      <c r="T1936" s="1" t="s">
        <v>153</v>
      </c>
      <c r="AA1936" s="1">
        <v>6111500</v>
      </c>
      <c r="AB1936" s="1" t="s">
        <v>1699</v>
      </c>
      <c r="AC1936" s="5">
        <v>42228</v>
      </c>
      <c r="AF1936" s="1">
        <v>10007</v>
      </c>
      <c r="AI1936" s="1" t="s">
        <v>51</v>
      </c>
      <c r="AJ1936" s="1">
        <v>2015</v>
      </c>
      <c r="AK1936" s="1" t="s">
        <v>99</v>
      </c>
      <c r="AL1936" s="1">
        <v>18</v>
      </c>
    </row>
    <row r="1937" spans="1:38" x14ac:dyDescent="0.2">
      <c r="A1937" s="2" t="str">
        <f>HYPERLINK("https://www.compass.com/listing/71-reade-street-unit-ru5a-manhattan-ny-10007/380647486328126113/","71 Reade St, Unit RU5A")</f>
        <v>71 Reade St, Unit RU5A</v>
      </c>
      <c r="B1937" s="2" t="str">
        <f t="shared" si="277"/>
        <v>Reade Chambers</v>
      </c>
      <c r="C1937" s="1" t="s">
        <v>65</v>
      </c>
      <c r="D1937" s="1" t="s">
        <v>41</v>
      </c>
      <c r="E1937" s="3">
        <v>5551463</v>
      </c>
      <c r="F1937" s="1">
        <v>36284.068627450899</v>
      </c>
      <c r="M1937" s="1">
        <v>153</v>
      </c>
      <c r="Q1937" s="1" t="s">
        <v>42</v>
      </c>
      <c r="S1937" s="1" t="s">
        <v>42</v>
      </c>
      <c r="T1937" s="1" t="s">
        <v>153</v>
      </c>
      <c r="AA1937" s="1">
        <v>5551462.5</v>
      </c>
      <c r="AB1937" s="1" t="s">
        <v>1700</v>
      </c>
      <c r="AC1937" s="5">
        <v>42233</v>
      </c>
      <c r="AF1937" s="1">
        <v>10007</v>
      </c>
      <c r="AI1937" s="1" t="s">
        <v>51</v>
      </c>
      <c r="AJ1937" s="1">
        <v>2015</v>
      </c>
      <c r="AK1937" s="1" t="s">
        <v>99</v>
      </c>
      <c r="AL1937" s="1">
        <v>18</v>
      </c>
    </row>
    <row r="1938" spans="1:38" x14ac:dyDescent="0.2">
      <c r="A1938" s="2" t="str">
        <f>HYPERLINK("https://www.compass.com/listing/71-reade-street-unit-ru6a-manhattan-ny-10007/380647487929637473/","71 Reade St, Unit RU6A")</f>
        <v>71 Reade St, Unit RU6A</v>
      </c>
      <c r="B1938" s="2" t="str">
        <f t="shared" si="277"/>
        <v>Reade Chambers</v>
      </c>
      <c r="C1938" s="1" t="s">
        <v>65</v>
      </c>
      <c r="D1938" s="1" t="s">
        <v>41</v>
      </c>
      <c r="E1938" s="3">
        <v>6035131</v>
      </c>
      <c r="F1938" s="1">
        <v>1988.5111202635901</v>
      </c>
      <c r="M1938" s="4">
        <v>3035</v>
      </c>
      <c r="Q1938" s="1" t="s">
        <v>42</v>
      </c>
      <c r="S1938" s="1" t="s">
        <v>42</v>
      </c>
      <c r="T1938" s="1" t="s">
        <v>153</v>
      </c>
      <c r="AA1938" s="1">
        <v>6035131.25</v>
      </c>
      <c r="AB1938" s="1" t="s">
        <v>1701</v>
      </c>
      <c r="AC1938" s="5">
        <v>42243</v>
      </c>
      <c r="AF1938" s="1">
        <v>10007</v>
      </c>
      <c r="AI1938" s="1" t="s">
        <v>51</v>
      </c>
      <c r="AJ1938" s="1">
        <v>2015</v>
      </c>
      <c r="AK1938" s="1" t="s">
        <v>99</v>
      </c>
      <c r="AL1938" s="1">
        <v>18</v>
      </c>
    </row>
    <row r="1939" spans="1:38" x14ac:dyDescent="0.2">
      <c r="A1939" s="2" t="str">
        <f>HYPERLINK("https://www.compass.com/listing/71-reade-street-unit-ru2b-manhattan-ny-10007/380647488550805745/","71 Reade St, Unit RU2B")</f>
        <v>71 Reade St, Unit RU2B</v>
      </c>
      <c r="B1939" s="2" t="str">
        <f t="shared" si="277"/>
        <v>Reade Chambers</v>
      </c>
      <c r="C1939" s="1" t="s">
        <v>65</v>
      </c>
      <c r="D1939" s="1" t="s">
        <v>41</v>
      </c>
      <c r="E1939" s="3">
        <v>3896806</v>
      </c>
      <c r="F1939" s="1">
        <v>25469.3218954248</v>
      </c>
      <c r="M1939" s="1">
        <v>153</v>
      </c>
      <c r="Q1939" s="1" t="s">
        <v>42</v>
      </c>
      <c r="S1939" s="1" t="s">
        <v>42</v>
      </c>
      <c r="T1939" s="1" t="s">
        <v>153</v>
      </c>
      <c r="AA1939" s="1">
        <v>3896806.25</v>
      </c>
      <c r="AB1939" s="1" t="s">
        <v>1702</v>
      </c>
      <c r="AC1939" s="5">
        <v>42242</v>
      </c>
      <c r="AF1939" s="1">
        <v>10007</v>
      </c>
      <c r="AI1939" s="1" t="s">
        <v>51</v>
      </c>
      <c r="AJ1939" s="1">
        <v>2015</v>
      </c>
      <c r="AK1939" s="1" t="s">
        <v>99</v>
      </c>
      <c r="AL1939" s="1">
        <v>18</v>
      </c>
    </row>
    <row r="1940" spans="1:38" x14ac:dyDescent="0.2">
      <c r="A1940" s="2" t="str">
        <f>HYPERLINK("https://www.compass.com/listing/155-west-126th-street-unit-gara-manhattan-ny-10027/380808301144259329/","155 W 126th St, Unit GARA")</f>
        <v>155 W 126th St, Unit GARA</v>
      </c>
      <c r="B1940" s="2" t="str">
        <f t="shared" ref="B1940:B1943" si="278">HYPERLINK("https://www.compass.com/building/155-w-126th-st-manhattan-ny-10027/281979223730651925/","155 W 126th St")</f>
        <v>155 W 126th St</v>
      </c>
      <c r="C1940" s="1" t="s">
        <v>141</v>
      </c>
      <c r="D1940" s="1" t="s">
        <v>41</v>
      </c>
      <c r="E1940" s="3">
        <v>1084436</v>
      </c>
      <c r="F1940" s="1">
        <v>744.29392587508505</v>
      </c>
      <c r="M1940" s="4">
        <v>1457</v>
      </c>
      <c r="Q1940" s="1" t="s">
        <v>42</v>
      </c>
      <c r="S1940" s="1" t="s">
        <v>42</v>
      </c>
      <c r="T1940" s="1" t="s">
        <v>153</v>
      </c>
      <c r="AA1940" s="1">
        <v>1084436.25</v>
      </c>
      <c r="AB1940" s="1" t="s">
        <v>1703</v>
      </c>
      <c r="AC1940" s="5">
        <v>42479</v>
      </c>
      <c r="AF1940" s="1">
        <v>10027</v>
      </c>
      <c r="AI1940" s="1" t="s">
        <v>107</v>
      </c>
      <c r="AJ1940" s="1">
        <v>1910</v>
      </c>
      <c r="AL1940" s="1">
        <v>10</v>
      </c>
    </row>
    <row r="1941" spans="1:38" x14ac:dyDescent="0.2">
      <c r="A1941" s="2" t="str">
        <f>HYPERLINK("https://www.compass.com/listing/155-west-126th-street-unit-3b-manhattan-ny-10027/380808306647186257/","155 W 126th St, Unit 3B")</f>
        <v>155 W 126th St, Unit 3B</v>
      </c>
      <c r="B1941" s="2" t="str">
        <f t="shared" si="278"/>
        <v>155 W 126th St</v>
      </c>
      <c r="C1941" s="1" t="s">
        <v>141</v>
      </c>
      <c r="D1941" s="1" t="s">
        <v>41</v>
      </c>
      <c r="E1941" s="3">
        <v>1032506</v>
      </c>
      <c r="F1941" s="1">
        <v>1022.28267326732</v>
      </c>
      <c r="M1941" s="4">
        <v>1010</v>
      </c>
      <c r="Q1941" s="1" t="s">
        <v>42</v>
      </c>
      <c r="S1941" s="1" t="s">
        <v>42</v>
      </c>
      <c r="T1941" s="1" t="s">
        <v>153</v>
      </c>
      <c r="AA1941" s="1">
        <v>1032505.5</v>
      </c>
      <c r="AB1941" s="1" t="s">
        <v>1704</v>
      </c>
      <c r="AC1941" s="5">
        <v>42389</v>
      </c>
      <c r="AF1941" s="1">
        <v>10027</v>
      </c>
      <c r="AI1941" s="1" t="s">
        <v>107</v>
      </c>
      <c r="AJ1941" s="1">
        <v>1910</v>
      </c>
      <c r="AL1941" s="1">
        <v>10</v>
      </c>
    </row>
    <row r="1942" spans="1:38" x14ac:dyDescent="0.2">
      <c r="A1942" s="2" t="str">
        <f>HYPERLINK("https://www.compass.com/listing/155-west-126th-street-unit-3a-manhattan-ny-10027/380808307553277089/","155 W 126th St, Unit 3A")</f>
        <v>155 W 126th St, Unit 3A</v>
      </c>
      <c r="B1942" s="2" t="str">
        <f t="shared" si="278"/>
        <v>155 W 126th St</v>
      </c>
      <c r="C1942" s="1" t="s">
        <v>141</v>
      </c>
      <c r="D1942" s="1" t="s">
        <v>41</v>
      </c>
      <c r="E1942" s="3">
        <v>1008068</v>
      </c>
      <c r="F1942" s="1">
        <v>29649.044117647001</v>
      </c>
      <c r="M1942" s="1">
        <v>34</v>
      </c>
      <c r="Q1942" s="1" t="s">
        <v>42</v>
      </c>
      <c r="S1942" s="1" t="s">
        <v>42</v>
      </c>
      <c r="T1942" s="1" t="s">
        <v>153</v>
      </c>
      <c r="AA1942" s="1">
        <v>1008067.5</v>
      </c>
      <c r="AB1942" s="1" t="s">
        <v>1705</v>
      </c>
      <c r="AC1942" s="5">
        <v>42412</v>
      </c>
      <c r="AF1942" s="1">
        <v>10027</v>
      </c>
      <c r="AI1942" s="1" t="s">
        <v>107</v>
      </c>
      <c r="AJ1942" s="1">
        <v>1910</v>
      </c>
      <c r="AL1942" s="1">
        <v>10</v>
      </c>
    </row>
    <row r="1943" spans="1:38" x14ac:dyDescent="0.2">
      <c r="A1943" s="2" t="str">
        <f>HYPERLINK("https://www.compass.com/listing/155-west-126th-street-unit-2a-manhattan-ny-10027/380808308031082273/","155 W 126th St, Unit 2A")</f>
        <v>155 W 126th St, Unit 2A</v>
      </c>
      <c r="B1943" s="2" t="str">
        <f t="shared" si="278"/>
        <v>155 W 126th St</v>
      </c>
      <c r="C1943" s="1" t="s">
        <v>141</v>
      </c>
      <c r="D1943" s="1" t="s">
        <v>41</v>
      </c>
      <c r="E1943" s="3">
        <v>1007976</v>
      </c>
      <c r="F1943" s="1">
        <v>1033.82179487179</v>
      </c>
      <c r="M1943" s="1">
        <v>975</v>
      </c>
      <c r="Q1943" s="1" t="s">
        <v>42</v>
      </c>
      <c r="S1943" s="1" t="s">
        <v>42</v>
      </c>
      <c r="T1943" s="1" t="s">
        <v>153</v>
      </c>
      <c r="AA1943" s="1">
        <v>1007976.25</v>
      </c>
      <c r="AB1943" s="1" t="s">
        <v>1706</v>
      </c>
      <c r="AC1943" s="5">
        <v>42389</v>
      </c>
      <c r="AF1943" s="1">
        <v>10027</v>
      </c>
      <c r="AI1943" s="1" t="s">
        <v>107</v>
      </c>
      <c r="AJ1943" s="1">
        <v>1910</v>
      </c>
      <c r="AL1943" s="1">
        <v>10</v>
      </c>
    </row>
    <row r="1944" spans="1:38" x14ac:dyDescent="0.2">
      <c r="A1944" s="2" t="str">
        <f>HYPERLINK("https://www.compass.com/listing/115-nassau-street-unit-49a-manhattan-ny-10038/414191280431923217/","115 Nassau St, Unit 49A")</f>
        <v>115 Nassau St, Unit 49A</v>
      </c>
      <c r="B1944" s="2" t="str">
        <f>HYPERLINK("https://www.compass.com/building/115-nassau-street-manhattan-ny/282058508331940421/","115 Nassau Street")</f>
        <v>115 Nassau Street</v>
      </c>
      <c r="C1944" s="1" t="s">
        <v>1453</v>
      </c>
      <c r="D1944" s="1" t="s">
        <v>41</v>
      </c>
      <c r="E1944" s="3">
        <v>3350000</v>
      </c>
      <c r="F1944" s="1">
        <v>2062.8078817733899</v>
      </c>
      <c r="M1944" s="4">
        <v>1624</v>
      </c>
      <c r="Q1944" s="1" t="s">
        <v>42</v>
      </c>
      <c r="S1944" s="1" t="s">
        <v>42</v>
      </c>
      <c r="T1944" s="1" t="s">
        <v>153</v>
      </c>
      <c r="AA1944" s="1">
        <v>3350000</v>
      </c>
      <c r="AB1944" s="1" t="s">
        <v>1707</v>
      </c>
      <c r="AC1944" s="5">
        <v>43805</v>
      </c>
      <c r="AF1944" s="1">
        <v>10038</v>
      </c>
      <c r="AJ1944" s="1">
        <v>2013</v>
      </c>
    </row>
    <row r="1945" spans="1:38" x14ac:dyDescent="0.2">
      <c r="A1945" s="2" t="str">
        <f>HYPERLINK("https://www.compass.com/listing/438-east-12th-street-unit-2p-manhattan-ny-10009/419992753600689825/","438 E 12th St, Unit 2P")</f>
        <v>438 E 12th St, Unit 2P</v>
      </c>
      <c r="B1945" s="2" t="str">
        <f>HYPERLINK("https://www.compass.com/building/steiner-east-village-manhattan-ny/281900317572873557/","Steiner East Village")</f>
        <v>Steiner East Village</v>
      </c>
      <c r="C1945" s="1" t="s">
        <v>52</v>
      </c>
      <c r="D1945" s="1" t="s">
        <v>41</v>
      </c>
      <c r="E1945" s="3">
        <v>1479365</v>
      </c>
      <c r="F1945" s="1">
        <v>1632.8526600441501</v>
      </c>
      <c r="M1945" s="1">
        <v>906</v>
      </c>
      <c r="Q1945" s="1" t="s">
        <v>42</v>
      </c>
      <c r="S1945" s="1" t="s">
        <v>42</v>
      </c>
      <c r="T1945" s="1" t="s">
        <v>153</v>
      </c>
      <c r="AA1945" s="1">
        <v>1479364.51</v>
      </c>
      <c r="AB1945" s="1" t="s">
        <v>1708</v>
      </c>
      <c r="AC1945" s="5">
        <v>43826</v>
      </c>
      <c r="AF1945" s="1">
        <v>10009</v>
      </c>
      <c r="AI1945" s="1" t="s">
        <v>53</v>
      </c>
      <c r="AJ1945" s="1">
        <v>2017</v>
      </c>
      <c r="AK1945" s="1" t="s">
        <v>49</v>
      </c>
      <c r="AL1945" s="1">
        <v>82</v>
      </c>
    </row>
    <row r="1946" spans="1:38" x14ac:dyDescent="0.2">
      <c r="A1946" s="2" t="str">
        <f>HYPERLINK("https://www.compass.com/listing/52-convent-avenue-unit-gb-manhattan-ny-10027/430117221394771169/","52 Convent Ave, Unit GB")</f>
        <v>52 Convent Ave, Unit GB</v>
      </c>
      <c r="B1946" s="2" t="str">
        <f>HYPERLINK("https://www.compass.com/building/52-convent-avenue-manhattan-ny/292889753865529749/","52 Convent Avenue ")</f>
        <v xml:space="preserve">52 Convent Avenue </v>
      </c>
      <c r="C1946" s="1" t="s">
        <v>126</v>
      </c>
      <c r="D1946" s="1" t="s">
        <v>41</v>
      </c>
      <c r="E1946" s="3">
        <v>695000</v>
      </c>
      <c r="F1946" s="1">
        <v>1010.17441860465</v>
      </c>
      <c r="M1946" s="1">
        <v>688</v>
      </c>
      <c r="Q1946" s="1" t="s">
        <v>42</v>
      </c>
      <c r="S1946" s="1" t="s">
        <v>42</v>
      </c>
      <c r="T1946" s="1" t="s">
        <v>153</v>
      </c>
      <c r="AA1946" s="1">
        <v>695000</v>
      </c>
      <c r="AB1946" s="1" t="s">
        <v>1709</v>
      </c>
      <c r="AC1946" s="5">
        <v>43794</v>
      </c>
      <c r="AF1946" s="1">
        <v>10027</v>
      </c>
      <c r="AI1946" s="1" t="s">
        <v>96</v>
      </c>
      <c r="AJ1946" s="1">
        <v>2018</v>
      </c>
      <c r="AK1946" s="1" t="s">
        <v>99</v>
      </c>
      <c r="AL1946" s="1">
        <v>17</v>
      </c>
    </row>
    <row r="1947" spans="1:38" x14ac:dyDescent="0.2">
      <c r="A1947" s="2" t="str">
        <f>HYPERLINK("https://www.compass.com/listing/115-nassau-street-unit-47a-manhattan-ny-10038/441336591957796753/","115 Nassau St, Unit 47A")</f>
        <v>115 Nassau St, Unit 47A</v>
      </c>
      <c r="B1947" s="2" t="str">
        <f>HYPERLINK("https://www.compass.com/building/115-nassau-street-manhattan-ny/282058508331940421/","115 Nassau Street")</f>
        <v>115 Nassau Street</v>
      </c>
      <c r="C1947" s="1" t="s">
        <v>1453</v>
      </c>
      <c r="D1947" s="1" t="s">
        <v>41</v>
      </c>
      <c r="E1947" s="3">
        <v>3200000</v>
      </c>
      <c r="F1947" s="1">
        <v>1970.44334975369</v>
      </c>
      <c r="M1947" s="4">
        <v>1624</v>
      </c>
      <c r="Q1947" s="1" t="s">
        <v>42</v>
      </c>
      <c r="S1947" s="1" t="s">
        <v>42</v>
      </c>
      <c r="T1947" s="1" t="s">
        <v>153</v>
      </c>
      <c r="AA1947" s="1">
        <v>3200000</v>
      </c>
      <c r="AB1947" s="1" t="s">
        <v>1710</v>
      </c>
      <c r="AC1947" s="5">
        <v>43791</v>
      </c>
      <c r="AF1947" s="1">
        <v>10038</v>
      </c>
      <c r="AJ1947" s="1">
        <v>2013</v>
      </c>
    </row>
    <row r="1948" spans="1:38" x14ac:dyDescent="0.2">
      <c r="A1948" s="2" t="str">
        <f>HYPERLINK("https://www.compass.com/listing/372-broadway-unit-r3-manhattan-ny-10013/441337772167619737/","372 Broadway, Unit R3")</f>
        <v>372 Broadway, Unit R3</v>
      </c>
      <c r="B1948" s="2" t="str">
        <f>HYPERLINK("https://www.compass.com/building/372-broadway-manhattan-ny-10013/281919283645154805/","372 Broadway")</f>
        <v>372 Broadway</v>
      </c>
      <c r="C1948" s="1" t="s">
        <v>77</v>
      </c>
      <c r="D1948" s="1" t="s">
        <v>41</v>
      </c>
      <c r="E1948" s="3">
        <v>4300000</v>
      </c>
      <c r="F1948" s="1">
        <v>1477.6632302405401</v>
      </c>
      <c r="M1948" s="4">
        <v>2910</v>
      </c>
      <c r="Q1948" s="1" t="s">
        <v>42</v>
      </c>
      <c r="S1948" s="1" t="s">
        <v>42</v>
      </c>
      <c r="T1948" s="1" t="s">
        <v>153</v>
      </c>
      <c r="AA1948" s="1">
        <v>4300000</v>
      </c>
      <c r="AB1948" s="1" t="s">
        <v>1711</v>
      </c>
      <c r="AC1948" s="5">
        <v>43829</v>
      </c>
      <c r="AF1948" s="1">
        <v>10013</v>
      </c>
      <c r="AJ1948" s="1">
        <v>1915</v>
      </c>
      <c r="AL1948" s="1">
        <v>6</v>
      </c>
    </row>
    <row r="1949" spans="1:38" x14ac:dyDescent="0.2">
      <c r="A1949" s="2" t="str">
        <f>HYPERLINK("https://www.compass.com/listing/155-west-126th-street-unit-4c-manhattan-ny-10027/455121757159399201/","155 W 126th St, Unit 4C")</f>
        <v>155 W 126th St, Unit 4C</v>
      </c>
      <c r="B1949" s="2" t="str">
        <f t="shared" ref="B1949:B1950" si="279">HYPERLINK("https://www.compass.com/building/155-w-126th-st-manhattan-ny-10027/281979223730651925/","155 W 126th St")</f>
        <v>155 W 126th St</v>
      </c>
      <c r="C1949" s="1" t="s">
        <v>141</v>
      </c>
      <c r="D1949" s="1" t="s">
        <v>41</v>
      </c>
      <c r="E1949" s="3">
        <v>803399</v>
      </c>
      <c r="F1949" s="1">
        <v>1064.10496688741</v>
      </c>
      <c r="M1949" s="1">
        <v>755</v>
      </c>
      <c r="Q1949" s="1" t="s">
        <v>42</v>
      </c>
      <c r="S1949" s="1" t="s">
        <v>42</v>
      </c>
      <c r="T1949" s="1" t="s">
        <v>153</v>
      </c>
      <c r="AA1949" s="1">
        <v>803399.25</v>
      </c>
      <c r="AB1949" s="1" t="s">
        <v>1712</v>
      </c>
      <c r="AC1949" s="5">
        <v>42458</v>
      </c>
      <c r="AF1949" s="1">
        <v>10027</v>
      </c>
      <c r="AI1949" s="1" t="s">
        <v>107</v>
      </c>
      <c r="AJ1949" s="1">
        <v>1910</v>
      </c>
      <c r="AL1949" s="1">
        <v>10</v>
      </c>
    </row>
    <row r="1950" spans="1:38" x14ac:dyDescent="0.2">
      <c r="A1950" s="2" t="str">
        <f>HYPERLINK("https://www.compass.com/listing/155-west-126th-street-unit-4d-manhattan-ny-10027/455127651221447817/","155 W 126th St, Unit 4D")</f>
        <v>155 W 126th St, Unit 4D</v>
      </c>
      <c r="B1950" s="2" t="str">
        <f t="shared" si="279"/>
        <v>155 W 126th St</v>
      </c>
      <c r="C1950" s="1" t="s">
        <v>141</v>
      </c>
      <c r="D1950" s="1" t="s">
        <v>41</v>
      </c>
      <c r="E1950" s="3">
        <v>874677</v>
      </c>
      <c r="F1950" s="1">
        <v>1122.81996148908</v>
      </c>
      <c r="M1950" s="1">
        <v>779</v>
      </c>
      <c r="Q1950" s="1" t="s">
        <v>42</v>
      </c>
      <c r="S1950" s="1" t="s">
        <v>42</v>
      </c>
      <c r="T1950" s="1" t="s">
        <v>153</v>
      </c>
      <c r="AA1950" s="1">
        <v>874676.75</v>
      </c>
      <c r="AB1950" s="1" t="s">
        <v>1713</v>
      </c>
      <c r="AC1950" s="5">
        <v>42649</v>
      </c>
      <c r="AF1950" s="1">
        <v>10027</v>
      </c>
      <c r="AI1950" s="1" t="s">
        <v>107</v>
      </c>
      <c r="AJ1950" s="1">
        <v>1910</v>
      </c>
      <c r="AL1950" s="1">
        <v>10</v>
      </c>
    </row>
    <row r="1951" spans="1:38" x14ac:dyDescent="0.2">
      <c r="A1951" s="2" t="str">
        <f>HYPERLINK("https://www.compass.com/listing/350-west-71st-street-unit-garde-manhattan-ny-10023/456949743223136865/","350 W 71st St, Unit GARDE")</f>
        <v>350 W 71st St, Unit GARDE</v>
      </c>
      <c r="B1951" s="2" t="str">
        <f>HYPERLINK("https://www.compass.com/building/350-west-71st-street-manhattan-ny/282058856064910533/","350 West 71st Street")</f>
        <v>350 West 71st Street</v>
      </c>
      <c r="C1951" s="1" t="s">
        <v>78</v>
      </c>
      <c r="D1951" s="1" t="s">
        <v>41</v>
      </c>
      <c r="E1951" s="3">
        <v>3350000</v>
      </c>
      <c r="F1951" s="1">
        <v>1175.85117585117</v>
      </c>
      <c r="M1951" s="4">
        <v>2849</v>
      </c>
      <c r="Q1951" s="1" t="s">
        <v>42</v>
      </c>
      <c r="S1951" s="1" t="s">
        <v>42</v>
      </c>
      <c r="T1951" s="1" t="s">
        <v>153</v>
      </c>
      <c r="AA1951" s="1">
        <v>3350000</v>
      </c>
      <c r="AB1951" s="1" t="s">
        <v>1714</v>
      </c>
      <c r="AC1951" s="5">
        <v>43871</v>
      </c>
      <c r="AF1951" s="1">
        <v>10023</v>
      </c>
      <c r="AI1951" s="1" t="s">
        <v>187</v>
      </c>
      <c r="AJ1951" s="1">
        <v>2019</v>
      </c>
      <c r="AK1951" s="1" t="s">
        <v>49</v>
      </c>
      <c r="AL1951" s="1">
        <v>38</v>
      </c>
    </row>
    <row r="1952" spans="1:38" x14ac:dyDescent="0.2">
      <c r="A1952" s="2" t="str">
        <f>HYPERLINK("https://www.compass.com/listing/544-east-13th-street-unit-6ab-manhattan-ny-10009/460568330387304817/","544 E 13th St, Unit 6AB")</f>
        <v>544 E 13th St, Unit 6AB</v>
      </c>
      <c r="B1952" s="2" t="str">
        <f>HYPERLINK("https://www.compass.com/building/544-e-13th-st-manhattan-ny-10009/281901024665418437/","544 E 13th St")</f>
        <v>544 E 13th St</v>
      </c>
      <c r="C1952" s="1" t="s">
        <v>52</v>
      </c>
      <c r="D1952" s="1" t="s">
        <v>41</v>
      </c>
      <c r="E1952" s="3">
        <v>133115</v>
      </c>
      <c r="Q1952" s="1" t="s">
        <v>117</v>
      </c>
      <c r="S1952" s="1" t="s">
        <v>117</v>
      </c>
      <c r="T1952" s="1" t="s">
        <v>153</v>
      </c>
      <c r="AA1952" s="1">
        <v>133115</v>
      </c>
      <c r="AB1952" s="1" t="s">
        <v>1715</v>
      </c>
      <c r="AC1952" s="5">
        <v>43867</v>
      </c>
      <c r="AF1952" s="1">
        <v>10009</v>
      </c>
      <c r="AJ1952" s="1">
        <v>1900</v>
      </c>
      <c r="AL1952" s="1">
        <v>11</v>
      </c>
    </row>
    <row r="1953" spans="1:38" x14ac:dyDescent="0.2">
      <c r="A1953" s="2" t="str">
        <f>HYPERLINK("https://www.compass.com/listing/450-west-42nd-street-unit-51l-manhattan-ny-10036/467097142327550009/","450 W 42nd St, Unit 51L")</f>
        <v>450 W 42nd St, Unit 51L</v>
      </c>
      <c r="B1953" s="2" t="str">
        <f>HYPERLINK("https://www.compass.com/building/mima-manhattan-ny/282025546404079525/","MiMA")</f>
        <v>MiMA</v>
      </c>
      <c r="C1953" s="1" t="s">
        <v>67</v>
      </c>
      <c r="D1953" s="1" t="s">
        <v>41</v>
      </c>
      <c r="E1953" s="3">
        <v>1680113</v>
      </c>
      <c r="F1953" s="1">
        <v>2417.4280575539501</v>
      </c>
      <c r="M1953" s="1">
        <v>695</v>
      </c>
      <c r="Q1953" s="1" t="s">
        <v>42</v>
      </c>
      <c r="S1953" s="1" t="s">
        <v>42</v>
      </c>
      <c r="T1953" s="1" t="s">
        <v>153</v>
      </c>
      <c r="AA1953" s="1">
        <v>1680112.5</v>
      </c>
      <c r="AB1953" s="1" t="s">
        <v>1716</v>
      </c>
      <c r="AC1953" s="5">
        <v>43888</v>
      </c>
      <c r="AF1953" s="1">
        <v>10036</v>
      </c>
      <c r="AI1953" s="1" t="s">
        <v>1450</v>
      </c>
      <c r="AJ1953" s="1">
        <v>2012</v>
      </c>
      <c r="AK1953" s="1" t="s">
        <v>49</v>
      </c>
      <c r="AL1953" s="1">
        <v>943</v>
      </c>
    </row>
    <row r="1954" spans="1:38" x14ac:dyDescent="0.2">
      <c r="A1954" s="2" t="str">
        <f>HYPERLINK("https://www.compass.com/listing/89-reade-street-unit-phn-manhattan-ny-10013/4703686343572612737/","89 Reade St, Unit PHN")</f>
        <v>89 Reade St, Unit PHN</v>
      </c>
      <c r="B1954" s="2" t="str">
        <f>HYPERLINK("https://www.compass.com/building/89-reade-st-manhattan-ny-10013/298444853419229173/","89 Reade St")</f>
        <v>89 Reade St</v>
      </c>
      <c r="C1954" s="1" t="s">
        <v>65</v>
      </c>
      <c r="D1954" s="1" t="s">
        <v>41</v>
      </c>
      <c r="E1954" s="3">
        <v>4200000</v>
      </c>
      <c r="F1954" s="1">
        <v>793.95085066162505</v>
      </c>
      <c r="G1954" s="1">
        <v>7</v>
      </c>
      <c r="H1954" s="1">
        <v>4</v>
      </c>
      <c r="I1954" s="1">
        <v>3</v>
      </c>
      <c r="J1954" s="1">
        <v>3</v>
      </c>
      <c r="M1954" s="4">
        <v>5290</v>
      </c>
      <c r="N1954" s="1">
        <v>2213</v>
      </c>
      <c r="O1954" s="1">
        <v>6860</v>
      </c>
      <c r="P1954" s="1">
        <v>4647</v>
      </c>
      <c r="Q1954" s="1" t="s">
        <v>42</v>
      </c>
      <c r="S1954" s="1" t="s">
        <v>42</v>
      </c>
      <c r="T1954" s="1" t="s">
        <v>153</v>
      </c>
      <c r="U1954" s="1">
        <v>736</v>
      </c>
      <c r="V1954" s="5">
        <v>42476</v>
      </c>
      <c r="W1954" s="5">
        <v>37949</v>
      </c>
      <c r="X1954" s="1">
        <v>4500000</v>
      </c>
      <c r="Y1954" s="1">
        <v>4200000</v>
      </c>
      <c r="Z1954" s="5">
        <v>38685</v>
      </c>
      <c r="AA1954" s="1">
        <v>4200000</v>
      </c>
      <c r="AB1954" s="1" t="s">
        <v>177</v>
      </c>
      <c r="AC1954" s="5">
        <v>38873</v>
      </c>
      <c r="AF1954" s="1">
        <v>10013</v>
      </c>
      <c r="AI1954" s="1" t="s">
        <v>1717</v>
      </c>
      <c r="AJ1954" s="1">
        <v>1856</v>
      </c>
      <c r="AL1954" s="1">
        <v>2</v>
      </c>
    </row>
    <row r="1955" spans="1:38" x14ac:dyDescent="0.2">
      <c r="A1955" s="2" t="str">
        <f>HYPERLINK("https://www.compass.com/listing/449-west-162nd-street-unit-parlor-manhattan-ny-10032/4718911346966544945/","449 W 162nd St, Unit PARLOR")</f>
        <v>449 W 162nd St, Unit PARLOR</v>
      </c>
      <c r="B1955" s="2" t="str">
        <f>HYPERLINK("https://www.compass.com/building/449-w-162nd-st-manhattan-ny-10032/282005823302005173/","449 W 162nd St")</f>
        <v>449 W 162nd St</v>
      </c>
      <c r="C1955" s="1" t="s">
        <v>1184</v>
      </c>
      <c r="D1955" s="1" t="s">
        <v>41</v>
      </c>
      <c r="E1955" s="3">
        <v>798000</v>
      </c>
      <c r="F1955" s="1">
        <v>926.82926829268297</v>
      </c>
      <c r="G1955" s="1">
        <v>3</v>
      </c>
      <c r="H1955" s="1">
        <v>1</v>
      </c>
      <c r="I1955" s="1">
        <v>2</v>
      </c>
      <c r="J1955" s="1">
        <v>2</v>
      </c>
      <c r="K1955" s="1">
        <v>2</v>
      </c>
      <c r="M1955" s="1">
        <v>861</v>
      </c>
      <c r="N1955" s="1">
        <v>290</v>
      </c>
      <c r="O1955" s="1">
        <v>565</v>
      </c>
      <c r="P1955" s="1">
        <v>275</v>
      </c>
      <c r="Q1955" s="1" t="s">
        <v>42</v>
      </c>
      <c r="S1955" s="1" t="s">
        <v>42</v>
      </c>
      <c r="T1955" s="1" t="s">
        <v>153</v>
      </c>
      <c r="U1955" s="1">
        <v>293</v>
      </c>
      <c r="V1955" s="5">
        <v>43620</v>
      </c>
      <c r="W1955" s="5">
        <v>43024</v>
      </c>
      <c r="X1955" s="1">
        <v>798000</v>
      </c>
      <c r="Y1955" s="1">
        <v>798000</v>
      </c>
      <c r="Z1955" s="5">
        <v>43317</v>
      </c>
      <c r="AA1955" s="1">
        <v>798000</v>
      </c>
      <c r="AB1955" s="1" t="s">
        <v>177</v>
      </c>
      <c r="AC1955" s="5">
        <v>43600</v>
      </c>
      <c r="AF1955" s="1">
        <v>10032</v>
      </c>
      <c r="AI1955" s="1" t="s">
        <v>1718</v>
      </c>
      <c r="AJ1955" s="1">
        <v>1905</v>
      </c>
      <c r="AL1955" s="1">
        <v>4</v>
      </c>
    </row>
    <row r="1956" spans="1:38" x14ac:dyDescent="0.2">
      <c r="A1956" s="2" t="str">
        <f>HYPERLINK("https://www.compass.com/listing/441-convent-avenue-unit-4n-manhattan-ny-10031/4792258475549806625/","441 Convent Ave, Unit 4N")</f>
        <v>441 Convent Ave, Unit 4N</v>
      </c>
      <c r="B1956" s="2" t="str">
        <f>HYPERLINK("https://www.compass.com/building/441-convent-ave-manhattan-ny-10031/281997455145425477/","441 Convent Ave")</f>
        <v>441 Convent Ave</v>
      </c>
      <c r="C1956" s="1" t="s">
        <v>82</v>
      </c>
      <c r="D1956" s="1" t="s">
        <v>41</v>
      </c>
      <c r="E1956" s="3">
        <v>455164</v>
      </c>
      <c r="F1956" s="1">
        <v>836.69852941176396</v>
      </c>
      <c r="G1956" s="1">
        <v>3</v>
      </c>
      <c r="H1956" s="1">
        <v>1</v>
      </c>
      <c r="I1956" s="1">
        <v>1</v>
      </c>
      <c r="J1956" s="1">
        <v>1</v>
      </c>
      <c r="K1956" s="1">
        <v>1</v>
      </c>
      <c r="M1956" s="1">
        <v>544</v>
      </c>
      <c r="N1956" s="1">
        <v>352</v>
      </c>
      <c r="O1956" s="1">
        <v>535</v>
      </c>
      <c r="P1956" s="1">
        <v>183</v>
      </c>
      <c r="Q1956" s="1" t="s">
        <v>42</v>
      </c>
      <c r="S1956" s="1" t="s">
        <v>42</v>
      </c>
      <c r="T1956" s="1" t="s">
        <v>153</v>
      </c>
      <c r="V1956" s="5">
        <v>43421</v>
      </c>
      <c r="W1956" s="5">
        <v>43137</v>
      </c>
      <c r="X1956" s="1">
        <v>452000</v>
      </c>
      <c r="Y1956" s="1">
        <v>452000</v>
      </c>
      <c r="Z1956" s="5">
        <v>43137</v>
      </c>
      <c r="AA1956" s="1">
        <v>455164</v>
      </c>
      <c r="AB1956" s="1" t="s">
        <v>1719</v>
      </c>
      <c r="AC1956" s="5">
        <v>43308</v>
      </c>
      <c r="AF1956" s="1">
        <v>10031</v>
      </c>
      <c r="AJ1956" s="1">
        <v>1951</v>
      </c>
      <c r="AL1956" s="1">
        <v>90</v>
      </c>
    </row>
    <row r="1957" spans="1:38" x14ac:dyDescent="0.2">
      <c r="A1957" s="2" t="str">
        <f>HYPERLINK("https://www.compass.com/listing/211-west-147th-street-unit-1a-manhattan-ny-10039/533771531690713513/","211 W 147th St, Unit 1A")</f>
        <v>211 W 147th St, Unit 1A</v>
      </c>
      <c r="B1957" s="2" t="str">
        <f t="shared" ref="B1957:B1958" si="280">HYPERLINK("https://www.compass.com/building/211-w-147th-st-manhattan-ny-10039/282031233376991093/","211 W 147th St")</f>
        <v>211 W 147th St</v>
      </c>
      <c r="C1957" s="1" t="s">
        <v>141</v>
      </c>
      <c r="D1957" s="1" t="s">
        <v>41</v>
      </c>
      <c r="E1957" s="3">
        <v>119008</v>
      </c>
      <c r="Q1957" s="1" t="s">
        <v>117</v>
      </c>
      <c r="S1957" s="1" t="s">
        <v>117</v>
      </c>
      <c r="T1957" s="1" t="s">
        <v>153</v>
      </c>
      <c r="AA1957" s="1">
        <v>119008</v>
      </c>
      <c r="AB1957" s="1" t="s">
        <v>1720</v>
      </c>
      <c r="AC1957" s="5">
        <v>43979</v>
      </c>
      <c r="AF1957" s="1">
        <v>10039</v>
      </c>
      <c r="AJ1957" s="1">
        <v>1921</v>
      </c>
      <c r="AL1957" s="1">
        <v>15</v>
      </c>
    </row>
    <row r="1958" spans="1:38" x14ac:dyDescent="0.2">
      <c r="A1958" s="2" t="str">
        <f>HYPERLINK("https://www.compass.com/listing/211-west-147th-street-unit-1c-manhattan-ny-10039/533771533544844185/","211 W 147th St, Unit 1C")</f>
        <v>211 W 147th St, Unit 1C</v>
      </c>
      <c r="B1958" s="2" t="str">
        <f t="shared" si="280"/>
        <v>211 W 147th St</v>
      </c>
      <c r="C1958" s="1" t="s">
        <v>141</v>
      </c>
      <c r="D1958" s="1" t="s">
        <v>41</v>
      </c>
      <c r="E1958" s="3">
        <v>133250</v>
      </c>
      <c r="Q1958" s="1" t="s">
        <v>117</v>
      </c>
      <c r="S1958" s="1" t="s">
        <v>117</v>
      </c>
      <c r="T1958" s="1" t="s">
        <v>153</v>
      </c>
      <c r="AA1958" s="1">
        <v>133250</v>
      </c>
      <c r="AB1958" s="1" t="s">
        <v>1721</v>
      </c>
      <c r="AC1958" s="5">
        <v>43979</v>
      </c>
      <c r="AF1958" s="1">
        <v>10039</v>
      </c>
      <c r="AJ1958" s="1">
        <v>1921</v>
      </c>
      <c r="AL1958" s="1">
        <v>15</v>
      </c>
    </row>
    <row r="1959" spans="1:38" x14ac:dyDescent="0.2">
      <c r="A1959" s="2" t="str">
        <f>HYPERLINK("https://www.compass.com/listing/441-convent-avenue-unit-1k-manhattan-ny-10031/543194498283503337/","441 Convent Ave, Unit 1K")</f>
        <v>441 Convent Ave, Unit 1K</v>
      </c>
      <c r="B1959" s="2" t="str">
        <f>HYPERLINK("https://www.compass.com/building/441-convent-ave-manhattan-ny-10031/281997455145425477/","441 Convent Ave")</f>
        <v>441 Convent Ave</v>
      </c>
      <c r="C1959" s="1" t="s">
        <v>82</v>
      </c>
      <c r="D1959" s="1" t="s">
        <v>41</v>
      </c>
      <c r="E1959" s="3">
        <v>510000</v>
      </c>
      <c r="F1959" s="1">
        <v>639.89962358845605</v>
      </c>
      <c r="M1959" s="1">
        <v>797</v>
      </c>
      <c r="Q1959" s="1" t="s">
        <v>42</v>
      </c>
      <c r="S1959" s="1" t="s">
        <v>42</v>
      </c>
      <c r="T1959" s="1" t="s">
        <v>153</v>
      </c>
      <c r="AA1959" s="1">
        <v>510000</v>
      </c>
      <c r="AB1959" s="1" t="s">
        <v>1722</v>
      </c>
      <c r="AC1959" s="5">
        <v>43994</v>
      </c>
      <c r="AF1959" s="1">
        <v>10031</v>
      </c>
      <c r="AJ1959" s="1">
        <v>1951</v>
      </c>
      <c r="AL1959" s="1">
        <v>90</v>
      </c>
    </row>
    <row r="1960" spans="1:38" x14ac:dyDescent="0.2">
      <c r="A1960" s="2" t="str">
        <f>HYPERLINK("https://www.compass.com/listing/176-east-82nd-street-unit-201-manhattan-ny-10028/556245011468124257/","176 E 82nd St, Unit 201")</f>
        <v>176 E 82nd St, Unit 201</v>
      </c>
      <c r="B1960" s="2" t="str">
        <f t="shared" ref="B1960:B1961" si="281">HYPERLINK("https://www.compass.com/building/etage-manhattan-ny/292891484586356869/","Etage")</f>
        <v>Etage</v>
      </c>
      <c r="C1960" s="1" t="s">
        <v>98</v>
      </c>
      <c r="D1960" s="1" t="s">
        <v>41</v>
      </c>
      <c r="E1960" s="3">
        <v>3600000</v>
      </c>
      <c r="Q1960" s="1" t="s">
        <v>42</v>
      </c>
      <c r="S1960" s="1" t="s">
        <v>42</v>
      </c>
      <c r="T1960" s="1" t="s">
        <v>153</v>
      </c>
      <c r="AA1960" s="1">
        <v>3600000</v>
      </c>
      <c r="AB1960" s="1" t="s">
        <v>1723</v>
      </c>
      <c r="AC1960" s="5">
        <v>43994</v>
      </c>
      <c r="AF1960" s="1">
        <v>10028</v>
      </c>
      <c r="AI1960" s="1" t="s">
        <v>51</v>
      </c>
      <c r="AJ1960" s="1">
        <v>2018</v>
      </c>
      <c r="AK1960" s="1" t="s">
        <v>99</v>
      </c>
      <c r="AL1960" s="1">
        <v>9</v>
      </c>
    </row>
    <row r="1961" spans="1:38" x14ac:dyDescent="0.2">
      <c r="A1961" s="2" t="str">
        <f>HYPERLINK("https://www.compass.com/listing/176-east-82nd-street-unit-401-manhattan-ny-10028/556245012189906249/","176 E 82nd St, Unit 401")</f>
        <v>176 E 82nd St, Unit 401</v>
      </c>
      <c r="B1961" s="2" t="str">
        <f t="shared" si="281"/>
        <v>Etage</v>
      </c>
      <c r="C1961" s="1" t="s">
        <v>98</v>
      </c>
      <c r="D1961" s="1" t="s">
        <v>41</v>
      </c>
      <c r="E1961" s="3">
        <v>3925000</v>
      </c>
      <c r="Q1961" s="1" t="s">
        <v>42</v>
      </c>
      <c r="S1961" s="1" t="s">
        <v>42</v>
      </c>
      <c r="T1961" s="1" t="s">
        <v>153</v>
      </c>
      <c r="AA1961" s="1">
        <v>3925000</v>
      </c>
      <c r="AB1961" s="1" t="s">
        <v>1724</v>
      </c>
      <c r="AC1961" s="5">
        <v>44006</v>
      </c>
      <c r="AF1961" s="1">
        <v>10028</v>
      </c>
      <c r="AI1961" s="1" t="s">
        <v>51</v>
      </c>
      <c r="AJ1961" s="1">
        <v>2018</v>
      </c>
      <c r="AK1961" s="1" t="s">
        <v>99</v>
      </c>
      <c r="AL1961" s="1">
        <v>9</v>
      </c>
    </row>
    <row r="1962" spans="1:38" x14ac:dyDescent="0.2">
      <c r="A1962" s="2" t="str">
        <f>HYPERLINK("https://www.compass.com/listing/1325-5th-avenue-unit-1a-manhattan-ny-10029/558422625326810705/","1325 5th Ave, Unit 1A")</f>
        <v>1325 5th Ave, Unit 1A</v>
      </c>
      <c r="B1962" s="2" t="str">
        <f>HYPERLINK("https://www.compass.com/building/the-fifth-avenue-manhattan-ny/294843719022876805/","The Fifth Avenue")</f>
        <v>The Fifth Avenue</v>
      </c>
      <c r="C1962" s="1" t="s">
        <v>60</v>
      </c>
      <c r="D1962" s="1" t="s">
        <v>41</v>
      </c>
      <c r="E1962" s="3">
        <v>911334</v>
      </c>
      <c r="F1962" s="1">
        <v>812.24041889482999</v>
      </c>
      <c r="M1962" s="4">
        <v>1122</v>
      </c>
      <c r="Q1962" s="1" t="s">
        <v>42</v>
      </c>
      <c r="S1962" s="1" t="s">
        <v>42</v>
      </c>
      <c r="T1962" s="1" t="s">
        <v>153</v>
      </c>
      <c r="AA1962" s="1">
        <v>911333.75</v>
      </c>
      <c r="AB1962" s="1" t="s">
        <v>1725</v>
      </c>
      <c r="AC1962" s="5">
        <v>44013</v>
      </c>
      <c r="AF1962" s="1">
        <v>10029</v>
      </c>
      <c r="AI1962" s="1" t="s">
        <v>55</v>
      </c>
      <c r="AJ1962" s="1">
        <v>1989</v>
      </c>
      <c r="AK1962" s="1" t="s">
        <v>49</v>
      </c>
      <c r="AL1962" s="1">
        <v>71</v>
      </c>
    </row>
    <row r="1963" spans="1:38" x14ac:dyDescent="0.2">
      <c r="A1963" s="2" t="str">
        <f>HYPERLINK("https://www.compass.com/listing/211-west-147th-street-unit-4a-manhattan-ny-10039/575484937715764521/","211 W 147th St, Unit 4A")</f>
        <v>211 W 147th St, Unit 4A</v>
      </c>
      <c r="B1963" s="2" t="str">
        <f>HYPERLINK("https://www.compass.com/building/211-w-147th-st-manhattan-ny-10039/282031233376991093/","211 W 147th St")</f>
        <v>211 W 147th St</v>
      </c>
      <c r="C1963" s="1" t="s">
        <v>141</v>
      </c>
      <c r="D1963" s="1" t="s">
        <v>41</v>
      </c>
      <c r="E1963" s="3">
        <v>133250</v>
      </c>
      <c r="Q1963" s="1" t="s">
        <v>117</v>
      </c>
      <c r="S1963" s="1" t="s">
        <v>117</v>
      </c>
      <c r="T1963" s="1" t="s">
        <v>153</v>
      </c>
      <c r="AA1963" s="1">
        <v>133250</v>
      </c>
      <c r="AB1963" s="1" t="s">
        <v>1726</v>
      </c>
      <c r="AC1963" s="5">
        <v>43655</v>
      </c>
      <c r="AF1963" s="1">
        <v>10039</v>
      </c>
      <c r="AJ1963" s="1">
        <v>1921</v>
      </c>
      <c r="AL1963" s="1">
        <v>15</v>
      </c>
    </row>
    <row r="1964" spans="1:38" x14ac:dyDescent="0.2">
      <c r="A1964" s="2" t="str">
        <f>HYPERLINK("https://www.compass.com/listing/176-east-82nd-street-unit-701-manhattan-ny-10028/582863831922213081/","176 E 82nd St, Unit 701")</f>
        <v>176 E 82nd St, Unit 701</v>
      </c>
      <c r="B1964" s="2" t="str">
        <f>HYPERLINK("https://www.compass.com/building/etage-manhattan-ny/292891484586356869/","Etage")</f>
        <v>Etage</v>
      </c>
      <c r="C1964" s="1" t="s">
        <v>98</v>
      </c>
      <c r="D1964" s="1" t="s">
        <v>41</v>
      </c>
      <c r="E1964" s="3">
        <v>4500000</v>
      </c>
      <c r="Q1964" s="1" t="s">
        <v>42</v>
      </c>
      <c r="S1964" s="1" t="s">
        <v>42</v>
      </c>
      <c r="T1964" s="1" t="s">
        <v>153</v>
      </c>
      <c r="AA1964" s="1">
        <v>4500000</v>
      </c>
      <c r="AB1964" s="1" t="s">
        <v>1727</v>
      </c>
      <c r="AC1964" s="5">
        <v>44035</v>
      </c>
      <c r="AF1964" s="1">
        <v>10028</v>
      </c>
      <c r="AI1964" s="1" t="s">
        <v>51</v>
      </c>
      <c r="AJ1964" s="1">
        <v>2018</v>
      </c>
      <c r="AK1964" s="1" t="s">
        <v>99</v>
      </c>
      <c r="AL1964" s="1">
        <v>9</v>
      </c>
    </row>
    <row r="1965" spans="1:38" x14ac:dyDescent="0.2">
      <c r="A1965" s="2" t="str">
        <f>HYPERLINK("https://www.compass.com/listing/52-convent-avenue-unit-ga-manhattan-ny-10027/582865738426390665/","52 Convent Ave, Unit GA")</f>
        <v>52 Convent Ave, Unit GA</v>
      </c>
      <c r="B1965" s="2" t="str">
        <f>HYPERLINK("https://www.compass.com/building/52-convent-avenue-manhattan-ny/292889753865529749/","52 Convent Avenue ")</f>
        <v xml:space="preserve">52 Convent Avenue </v>
      </c>
      <c r="C1965" s="1" t="s">
        <v>126</v>
      </c>
      <c r="D1965" s="1" t="s">
        <v>41</v>
      </c>
      <c r="E1965" s="3">
        <v>920000</v>
      </c>
      <c r="F1965" s="1">
        <v>691.72932330826995</v>
      </c>
      <c r="M1965" s="4">
        <v>1330</v>
      </c>
      <c r="Q1965" s="1" t="s">
        <v>42</v>
      </c>
      <c r="S1965" s="1" t="s">
        <v>42</v>
      </c>
      <c r="T1965" s="1" t="s">
        <v>153</v>
      </c>
      <c r="AA1965" s="1">
        <v>920000</v>
      </c>
      <c r="AB1965" s="1" t="s">
        <v>1728</v>
      </c>
      <c r="AC1965" s="5">
        <v>44041</v>
      </c>
      <c r="AF1965" s="1">
        <v>10027</v>
      </c>
      <c r="AI1965" s="1" t="s">
        <v>96</v>
      </c>
      <c r="AJ1965" s="1">
        <v>2018</v>
      </c>
      <c r="AK1965" s="1" t="s">
        <v>99</v>
      </c>
      <c r="AL1965" s="1">
        <v>17</v>
      </c>
    </row>
    <row r="1966" spans="1:38" x14ac:dyDescent="0.2">
      <c r="A1966" s="2" t="str">
        <f>HYPERLINK("https://www.compass.com/listing/176-east-82nd-street-unit-301-manhattan-ny-10028/587413491978422201/","176 E 82nd St, Unit 301")</f>
        <v>176 E 82nd St, Unit 301</v>
      </c>
      <c r="B1966" s="2" t="str">
        <f>HYPERLINK("https://www.compass.com/building/etage-manhattan-ny/292891484586356869/","Etage")</f>
        <v>Etage</v>
      </c>
      <c r="C1966" s="1" t="s">
        <v>98</v>
      </c>
      <c r="D1966" s="1" t="s">
        <v>41</v>
      </c>
      <c r="E1966" s="3">
        <v>3730000</v>
      </c>
      <c r="Q1966" s="1" t="s">
        <v>42</v>
      </c>
      <c r="S1966" s="1" t="s">
        <v>42</v>
      </c>
      <c r="T1966" s="1" t="s">
        <v>153</v>
      </c>
      <c r="AA1966" s="1">
        <v>3730000</v>
      </c>
      <c r="AB1966" s="1" t="s">
        <v>1729</v>
      </c>
      <c r="AC1966" s="5">
        <v>44057</v>
      </c>
      <c r="AF1966" s="1">
        <v>10028</v>
      </c>
      <c r="AI1966" s="1" t="s">
        <v>51</v>
      </c>
      <c r="AJ1966" s="1">
        <v>2018</v>
      </c>
      <c r="AK1966" s="1" t="s">
        <v>99</v>
      </c>
      <c r="AL1966" s="1">
        <v>9</v>
      </c>
    </row>
    <row r="1967" spans="1:38" x14ac:dyDescent="0.2">
      <c r="A1967" s="2" t="str">
        <f>HYPERLINK("https://www.compass.com/listing/211-west-147th-street-unit-5b-manhattan-ny-10039/607184675246956457/","211 W 147th St, Unit 5B")</f>
        <v>211 W 147th St, Unit 5B</v>
      </c>
      <c r="B1967" s="2" t="str">
        <f>HYPERLINK("https://www.compass.com/building/211-w-147th-st-manhattan-ny-10039/282031233376991093/","211 W 147th St")</f>
        <v>211 W 147th St</v>
      </c>
      <c r="C1967" s="1" t="s">
        <v>141</v>
      </c>
      <c r="D1967" s="1" t="s">
        <v>41</v>
      </c>
      <c r="E1967" s="3">
        <v>148975</v>
      </c>
      <c r="Q1967" s="1" t="s">
        <v>117</v>
      </c>
      <c r="S1967" s="1" t="s">
        <v>117</v>
      </c>
      <c r="T1967" s="1" t="s">
        <v>153</v>
      </c>
      <c r="AA1967" s="1">
        <v>148975</v>
      </c>
      <c r="AB1967" s="1" t="s">
        <v>1730</v>
      </c>
      <c r="AC1967" s="5">
        <v>44061</v>
      </c>
      <c r="AF1967" s="1">
        <v>10039</v>
      </c>
      <c r="AJ1967" s="1">
        <v>1921</v>
      </c>
      <c r="AL1967" s="1">
        <v>15</v>
      </c>
    </row>
    <row r="1968" spans="1:38" x14ac:dyDescent="0.2">
      <c r="A1968" s="2" t="str">
        <f>HYPERLINK("https://www.compass.com/listing/450-west-42nd-street-unit-55a-manhattan-ny-10036/609155098314364433/","450 W 42nd St, Unit 55A")</f>
        <v>450 W 42nd St, Unit 55A</v>
      </c>
      <c r="B1968" s="2" t="str">
        <f>HYPERLINK("https://www.compass.com/building/mima-manhattan-ny/282025546404079525/","MiMA")</f>
        <v>MiMA</v>
      </c>
      <c r="C1968" s="1" t="s">
        <v>67</v>
      </c>
      <c r="D1968" s="1" t="s">
        <v>41</v>
      </c>
      <c r="E1968" s="3">
        <v>1180000</v>
      </c>
      <c r="F1968" s="1">
        <v>2017.09401709401</v>
      </c>
      <c r="M1968" s="1">
        <v>585</v>
      </c>
      <c r="Q1968" s="1" t="s">
        <v>42</v>
      </c>
      <c r="S1968" s="1" t="s">
        <v>42</v>
      </c>
      <c r="T1968" s="1" t="s">
        <v>153</v>
      </c>
      <c r="AA1968" s="1">
        <v>1180000</v>
      </c>
      <c r="AB1968" s="1" t="s">
        <v>1731</v>
      </c>
      <c r="AC1968" s="5">
        <v>44071</v>
      </c>
      <c r="AF1968" s="1">
        <v>10036</v>
      </c>
      <c r="AI1968" s="1" t="s">
        <v>1450</v>
      </c>
      <c r="AJ1968" s="1">
        <v>2012</v>
      </c>
      <c r="AK1968" s="1" t="s">
        <v>49</v>
      </c>
      <c r="AL1968" s="1">
        <v>943</v>
      </c>
    </row>
    <row r="1969" spans="1:38" x14ac:dyDescent="0.2">
      <c r="A1969" s="2" t="str">
        <f>HYPERLINK("https://www.compass.com/listing/110-charlton-street-unit-6g-manhattan-ny-10014/650203129821017041/","110 Charlton St, Unit 6G")</f>
        <v>110 Charlton St, Unit 6G</v>
      </c>
      <c r="B1969" s="2" t="str">
        <f t="shared" ref="B1969:B1970" si="282">HYPERLINK("https://www.compass.com/building/greenwich-west-manhattan-ny/282058690331179733/","Greenwich West")</f>
        <v>Greenwich West</v>
      </c>
      <c r="C1969" s="1" t="s">
        <v>72</v>
      </c>
      <c r="D1969" s="1" t="s">
        <v>41</v>
      </c>
      <c r="E1969" s="3">
        <v>1524313</v>
      </c>
      <c r="Q1969" s="1" t="s">
        <v>42</v>
      </c>
      <c r="S1969" s="1" t="s">
        <v>42</v>
      </c>
      <c r="T1969" s="1" t="s">
        <v>153</v>
      </c>
      <c r="AA1969" s="1">
        <v>1524312.65</v>
      </c>
      <c r="AB1969" s="1" t="s">
        <v>1732</v>
      </c>
      <c r="AC1969" s="5">
        <v>44126</v>
      </c>
      <c r="AF1969" s="1">
        <v>10014</v>
      </c>
      <c r="AI1969" s="1" t="s">
        <v>51</v>
      </c>
      <c r="AJ1969" s="1">
        <v>2020</v>
      </c>
      <c r="AK1969" s="1" t="s">
        <v>49</v>
      </c>
      <c r="AL1969" s="1">
        <v>170</v>
      </c>
    </row>
    <row r="1970" spans="1:38" x14ac:dyDescent="0.2">
      <c r="A1970" s="2" t="str">
        <f>HYPERLINK("https://www.compass.com/listing/110-charlton-street-unit-8b-manhattan-ny-10014/650203131112803961/","110 Charlton St, Unit 8B")</f>
        <v>110 Charlton St, Unit 8B</v>
      </c>
      <c r="B1970" s="2" t="str">
        <f t="shared" si="282"/>
        <v>Greenwich West</v>
      </c>
      <c r="C1970" s="1" t="s">
        <v>72</v>
      </c>
      <c r="D1970" s="1" t="s">
        <v>41</v>
      </c>
      <c r="E1970" s="3">
        <v>1695000</v>
      </c>
      <c r="Q1970" s="1" t="s">
        <v>42</v>
      </c>
      <c r="S1970" s="1" t="s">
        <v>42</v>
      </c>
      <c r="T1970" s="1" t="s">
        <v>153</v>
      </c>
      <c r="AA1970" s="1">
        <v>1695000</v>
      </c>
      <c r="AB1970" s="1" t="s">
        <v>1733</v>
      </c>
      <c r="AC1970" s="5">
        <v>44123</v>
      </c>
      <c r="AF1970" s="1">
        <v>10014</v>
      </c>
      <c r="AI1970" s="1" t="s">
        <v>51</v>
      </c>
      <c r="AJ1970" s="1">
        <v>2020</v>
      </c>
      <c r="AK1970" s="1" t="s">
        <v>49</v>
      </c>
      <c r="AL1970" s="1">
        <v>170</v>
      </c>
    </row>
    <row r="1971" spans="1:38" x14ac:dyDescent="0.2">
      <c r="A1971" s="2" t="str">
        <f>HYPERLINK("https://www.compass.com/listing/115-nassau-street-unit-ph51-manhattan-ny-10038/651684514012146945/","115 Nassau St, Unit PH51")</f>
        <v>115 Nassau St, Unit PH51</v>
      </c>
      <c r="B1971" s="2" t="str">
        <f>HYPERLINK("https://www.compass.com/building/115-nassau-street-manhattan-ny/282058508331940421/","115 Nassau Street")</f>
        <v>115 Nassau Street</v>
      </c>
      <c r="C1971" s="1" t="s">
        <v>1453</v>
      </c>
      <c r="D1971" s="1" t="s">
        <v>41</v>
      </c>
      <c r="E1971" s="3">
        <v>10400000</v>
      </c>
      <c r="F1971" s="1">
        <v>2926.2802476083202</v>
      </c>
      <c r="M1971" s="4">
        <v>3554</v>
      </c>
      <c r="Q1971" s="1" t="s">
        <v>42</v>
      </c>
      <c r="S1971" s="1" t="s">
        <v>42</v>
      </c>
      <c r="T1971" s="1" t="s">
        <v>153</v>
      </c>
      <c r="AA1971" s="1">
        <v>10400000</v>
      </c>
      <c r="AB1971" s="1" t="s">
        <v>1734</v>
      </c>
      <c r="AC1971" s="5">
        <v>44103</v>
      </c>
      <c r="AF1971" s="1">
        <v>10038</v>
      </c>
      <c r="AJ1971" s="1">
        <v>2013</v>
      </c>
    </row>
    <row r="1972" spans="1:38" x14ac:dyDescent="0.2">
      <c r="A1972" s="2" t="str">
        <f>HYPERLINK("https://www.compass.com/listing/503-west-174th-street-unit-55-manhattan-ny-10033/652463006169647281/","503 W 174th St, Unit 55")</f>
        <v>503 W 174th St, Unit 55</v>
      </c>
      <c r="B1972" s="2" t="str">
        <f>HYPERLINK("https://www.compass.com/building/503-w-174th-st-manhattan-ny-10033/282011937775028933/","503 W 174th St")</f>
        <v>503 W 174th St</v>
      </c>
      <c r="C1972" s="1" t="s">
        <v>1184</v>
      </c>
      <c r="D1972" s="1" t="s">
        <v>41</v>
      </c>
      <c r="E1972" s="3">
        <v>56000</v>
      </c>
      <c r="Q1972" s="1" t="s">
        <v>117</v>
      </c>
      <c r="S1972" s="1" t="s">
        <v>117</v>
      </c>
      <c r="T1972" s="1" t="s">
        <v>153</v>
      </c>
      <c r="AA1972" s="1">
        <v>56000</v>
      </c>
      <c r="AB1972" s="1" t="s">
        <v>1735</v>
      </c>
      <c r="AC1972" s="5">
        <v>44112</v>
      </c>
      <c r="AF1972" s="1">
        <v>10033</v>
      </c>
      <c r="AJ1972" s="1">
        <v>1910</v>
      </c>
      <c r="AL1972" s="1">
        <v>25</v>
      </c>
    </row>
    <row r="1973" spans="1:38" x14ac:dyDescent="0.2">
      <c r="A1973" s="2" t="str">
        <f>HYPERLINK("https://www.compass.com/listing/110-charlton-street-unit-5e-manhattan-ny-10014/654090888088649337/","110 Charlton St, Unit 5E")</f>
        <v>110 Charlton St, Unit 5E</v>
      </c>
      <c r="B1973" s="2" t="str">
        <f t="shared" ref="B1973:B1974" si="283">HYPERLINK("https://www.compass.com/building/greenwich-west-manhattan-ny/282058690331179733/","Greenwich West")</f>
        <v>Greenwich West</v>
      </c>
      <c r="C1973" s="1" t="s">
        <v>72</v>
      </c>
      <c r="D1973" s="1" t="s">
        <v>41</v>
      </c>
      <c r="E1973" s="3">
        <v>956385</v>
      </c>
      <c r="Q1973" s="1" t="s">
        <v>42</v>
      </c>
      <c r="S1973" s="1" t="s">
        <v>42</v>
      </c>
      <c r="T1973" s="1" t="s">
        <v>153</v>
      </c>
      <c r="AA1973" s="1">
        <v>956384.71</v>
      </c>
      <c r="AB1973" s="1" t="s">
        <v>1736</v>
      </c>
      <c r="AC1973" s="5">
        <v>44125</v>
      </c>
      <c r="AF1973" s="1">
        <v>10014</v>
      </c>
      <c r="AI1973" s="1" t="s">
        <v>51</v>
      </c>
      <c r="AJ1973" s="1">
        <v>2020</v>
      </c>
      <c r="AK1973" s="1" t="s">
        <v>49</v>
      </c>
      <c r="AL1973" s="1">
        <v>170</v>
      </c>
    </row>
    <row r="1974" spans="1:38" x14ac:dyDescent="0.2">
      <c r="A1974" s="2" t="str">
        <f>HYPERLINK("https://www.compass.com/listing/110-charlton-street-unit-3b-manhattan-ny-10014/654816360343177329/","110 Charlton St, Unit 3B")</f>
        <v>110 Charlton St, Unit 3B</v>
      </c>
      <c r="B1974" s="2" t="str">
        <f t="shared" si="283"/>
        <v>Greenwich West</v>
      </c>
      <c r="C1974" s="1" t="s">
        <v>72</v>
      </c>
      <c r="D1974" s="1" t="s">
        <v>41</v>
      </c>
      <c r="E1974" s="3">
        <v>2250000</v>
      </c>
      <c r="Q1974" s="1" t="s">
        <v>42</v>
      </c>
      <c r="S1974" s="1" t="s">
        <v>42</v>
      </c>
      <c r="T1974" s="1" t="s">
        <v>153</v>
      </c>
      <c r="AA1974" s="1">
        <v>2250000</v>
      </c>
      <c r="AB1974" s="1" t="s">
        <v>1737</v>
      </c>
      <c r="AC1974" s="5">
        <v>44125</v>
      </c>
      <c r="AF1974" s="1">
        <v>10014</v>
      </c>
      <c r="AI1974" s="1" t="s">
        <v>51</v>
      </c>
      <c r="AJ1974" s="1">
        <v>2020</v>
      </c>
      <c r="AK1974" s="1" t="s">
        <v>49</v>
      </c>
      <c r="AL1974" s="1">
        <v>170</v>
      </c>
    </row>
    <row r="1975" spans="1:38" x14ac:dyDescent="0.2">
      <c r="A1975" s="2" t="str">
        <f>HYPERLINK("https://www.compass.com/listing/27-east-79th-street-unit-sim6-manhattan-ny-10075/654822439038856417/","27 E 79th St, Unit SIM6")</f>
        <v>27 E 79th St, Unit SIM6</v>
      </c>
      <c r="B1975" s="2" t="str">
        <f>HYPERLINK("https://www.compass.com/building/27-e-79th-st-manhattan-ny-10075/282057858843965749/","27 E 79th St")</f>
        <v>27 E 79th St</v>
      </c>
      <c r="C1975" s="1" t="s">
        <v>98</v>
      </c>
      <c r="D1975" s="1" t="s">
        <v>41</v>
      </c>
      <c r="E1975" s="3">
        <v>5552938</v>
      </c>
      <c r="Q1975" s="1" t="s">
        <v>42</v>
      </c>
      <c r="S1975" s="1" t="s">
        <v>42</v>
      </c>
      <c r="T1975" s="1" t="s">
        <v>153</v>
      </c>
      <c r="AA1975" s="1">
        <v>5552937.5</v>
      </c>
      <c r="AB1975" s="1" t="s">
        <v>1738</v>
      </c>
      <c r="AC1975" s="5">
        <v>44133</v>
      </c>
      <c r="AF1975" s="1">
        <v>10075</v>
      </c>
      <c r="AJ1975" s="1">
        <v>2019</v>
      </c>
      <c r="AK1975" s="1" t="s">
        <v>49</v>
      </c>
      <c r="AL1975" s="1">
        <v>8</v>
      </c>
    </row>
    <row r="1976" spans="1:38" x14ac:dyDescent="0.2">
      <c r="A1976" s="2" t="str">
        <f>HYPERLINK("https://www.compass.com/listing/110-charlton-street-unit-17b-manhattan-ny-10014/657718158939137289/","110 Charlton St, Unit 17B")</f>
        <v>110 Charlton St, Unit 17B</v>
      </c>
      <c r="B1976" s="2" t="str">
        <f>HYPERLINK("https://www.compass.com/building/greenwich-west-manhattan-ny/282058690331179733/","Greenwich West")</f>
        <v>Greenwich West</v>
      </c>
      <c r="C1976" s="1" t="s">
        <v>72</v>
      </c>
      <c r="D1976" s="1" t="s">
        <v>41</v>
      </c>
      <c r="E1976" s="3">
        <v>1765000</v>
      </c>
      <c r="Q1976" s="1" t="s">
        <v>42</v>
      </c>
      <c r="S1976" s="1" t="s">
        <v>42</v>
      </c>
      <c r="T1976" s="1" t="s">
        <v>153</v>
      </c>
      <c r="AA1976" s="1">
        <v>1765000</v>
      </c>
      <c r="AB1976" s="1" t="s">
        <v>1739</v>
      </c>
      <c r="AC1976" s="5">
        <v>44131</v>
      </c>
      <c r="AF1976" s="1">
        <v>10014</v>
      </c>
      <c r="AI1976" s="1" t="s">
        <v>51</v>
      </c>
      <c r="AJ1976" s="1">
        <v>2020</v>
      </c>
      <c r="AK1976" s="1" t="s">
        <v>49</v>
      </c>
      <c r="AL1976" s="1">
        <v>170</v>
      </c>
    </row>
    <row r="1977" spans="1:38" x14ac:dyDescent="0.2">
      <c r="A1977" s="2" t="str">
        <f>HYPERLINK("https://www.compass.com/listing/211-west-147th-street-unit-3a-manhattan-ny-10039/662800277936030113/","211 W 147th St, Unit 3A")</f>
        <v>211 W 147th St, Unit 3A</v>
      </c>
      <c r="B1977" s="2" t="str">
        <f t="shared" ref="B1977:B1978" si="284">HYPERLINK("https://www.compass.com/building/211-w-147th-st-manhattan-ny-10039/282031233376991093/","211 W 147th St")</f>
        <v>211 W 147th St</v>
      </c>
      <c r="C1977" s="1" t="s">
        <v>141</v>
      </c>
      <c r="D1977" s="1" t="s">
        <v>41</v>
      </c>
      <c r="E1977" s="3">
        <v>133250</v>
      </c>
      <c r="Q1977" s="1" t="s">
        <v>117</v>
      </c>
      <c r="S1977" s="1" t="s">
        <v>117</v>
      </c>
      <c r="T1977" s="1" t="s">
        <v>153</v>
      </c>
      <c r="AA1977" s="1">
        <v>133250</v>
      </c>
      <c r="AB1977" s="1" t="s">
        <v>1740</v>
      </c>
      <c r="AC1977" s="5">
        <v>44154</v>
      </c>
      <c r="AF1977" s="1">
        <v>10039</v>
      </c>
      <c r="AJ1977" s="1">
        <v>1921</v>
      </c>
      <c r="AL1977" s="1">
        <v>15</v>
      </c>
    </row>
    <row r="1978" spans="1:38" x14ac:dyDescent="0.2">
      <c r="A1978" s="2" t="str">
        <f>HYPERLINK("https://www.compass.com/listing/211-west-147th-street-unit-1b-manhattan-ny-10039/668596343101616321/","211 W 147th St, Unit 1B")</f>
        <v>211 W 147th St, Unit 1B</v>
      </c>
      <c r="B1978" s="2" t="str">
        <f t="shared" si="284"/>
        <v>211 W 147th St</v>
      </c>
      <c r="C1978" s="1" t="s">
        <v>141</v>
      </c>
      <c r="D1978" s="1" t="s">
        <v>41</v>
      </c>
      <c r="E1978" s="3">
        <v>119008</v>
      </c>
      <c r="Q1978" s="1" t="s">
        <v>117</v>
      </c>
      <c r="S1978" s="1" t="s">
        <v>117</v>
      </c>
      <c r="T1978" s="1" t="s">
        <v>153</v>
      </c>
      <c r="AA1978" s="1">
        <v>119008</v>
      </c>
      <c r="AB1978" s="1" t="s">
        <v>1741</v>
      </c>
      <c r="AC1978" s="5">
        <v>44168</v>
      </c>
      <c r="AF1978" s="1">
        <v>10039</v>
      </c>
      <c r="AJ1978" s="1">
        <v>1921</v>
      </c>
      <c r="AL1978" s="1">
        <v>15</v>
      </c>
    </row>
    <row r="1979" spans="1:38" x14ac:dyDescent="0.2">
      <c r="A1979" s="2" t="str">
        <f>HYPERLINK("https://www.compass.com/listing/27-east-79th-street-unit-sim5-manhattan-ny-10075/674624187867916641/","27 E 79th St, Unit SIM5")</f>
        <v>27 E 79th St, Unit SIM5</v>
      </c>
      <c r="B1979" s="2" t="str">
        <f>HYPERLINK("https://www.compass.com/building/27-e-79th-st-manhattan-ny-10075/282057858843965749/","27 E 79th St")</f>
        <v>27 E 79th St</v>
      </c>
      <c r="C1979" s="1" t="s">
        <v>98</v>
      </c>
      <c r="D1979" s="1" t="s">
        <v>41</v>
      </c>
      <c r="E1979" s="3">
        <v>5298000</v>
      </c>
      <c r="Q1979" s="1" t="s">
        <v>42</v>
      </c>
      <c r="S1979" s="1" t="s">
        <v>42</v>
      </c>
      <c r="T1979" s="1" t="s">
        <v>153</v>
      </c>
      <c r="AA1979" s="1">
        <v>5298000</v>
      </c>
      <c r="AB1979" s="1" t="s">
        <v>1742</v>
      </c>
      <c r="AC1979" s="5">
        <v>44160</v>
      </c>
      <c r="AF1979" s="1">
        <v>10075</v>
      </c>
      <c r="AJ1979" s="1">
        <v>2019</v>
      </c>
      <c r="AK1979" s="1" t="s">
        <v>49</v>
      </c>
      <c r="AL1979" s="1">
        <v>8</v>
      </c>
    </row>
    <row r="1980" spans="1:38" x14ac:dyDescent="0.2">
      <c r="A1980" s="2" t="str">
        <f>HYPERLINK("https://www.compass.com/listing/211-west-147th-street-unit-3b-manhattan-ny-10039/705996054586482713/","211 W 147th St, Unit 3B")</f>
        <v>211 W 147th St, Unit 3B</v>
      </c>
      <c r="B1980" s="2" t="str">
        <f>HYPERLINK("https://www.compass.com/building/211-w-147th-st-manhattan-ny-10039/282031233376991093/","211 W 147th St")</f>
        <v>211 W 147th St</v>
      </c>
      <c r="C1980" s="1" t="s">
        <v>141</v>
      </c>
      <c r="D1980" s="1" t="s">
        <v>41</v>
      </c>
      <c r="E1980" s="3">
        <v>133250</v>
      </c>
      <c r="Q1980" s="1" t="s">
        <v>117</v>
      </c>
      <c r="S1980" s="1" t="s">
        <v>117</v>
      </c>
      <c r="T1980" s="1" t="s">
        <v>153</v>
      </c>
      <c r="AA1980" s="1">
        <v>133250</v>
      </c>
      <c r="AB1980" s="1" t="s">
        <v>1743</v>
      </c>
      <c r="AC1980" s="5">
        <v>44217</v>
      </c>
      <c r="AF1980" s="1">
        <v>10039</v>
      </c>
      <c r="AJ1980" s="1">
        <v>1921</v>
      </c>
      <c r="AL1980" s="1">
        <v>15</v>
      </c>
    </row>
    <row r="1981" spans="1:38" x14ac:dyDescent="0.2">
      <c r="A1981" s="2" t="str">
        <f>HYPERLINK("https://www.compass.com/listing/115-nassau-street-unit-30a-manhattan-ny-10038/710640224051953937/","115 Nassau St, Unit 30A")</f>
        <v>115 Nassau St, Unit 30A</v>
      </c>
      <c r="B1981" s="2" t="str">
        <f t="shared" ref="B1981:B1982" si="285">HYPERLINK("https://www.compass.com/building/115-nassau-street-manhattan-ny/282058508331940421/","115 Nassau Street")</f>
        <v>115 Nassau Street</v>
      </c>
      <c r="C1981" s="1" t="s">
        <v>1453</v>
      </c>
      <c r="D1981" s="1" t="s">
        <v>41</v>
      </c>
      <c r="E1981" s="3">
        <v>2000000</v>
      </c>
      <c r="F1981" s="1">
        <v>1433.6917562724</v>
      </c>
      <c r="M1981" s="4">
        <v>1395</v>
      </c>
      <c r="Q1981" s="1" t="s">
        <v>42</v>
      </c>
      <c r="S1981" s="1" t="s">
        <v>42</v>
      </c>
      <c r="T1981" s="1" t="s">
        <v>153</v>
      </c>
      <c r="AA1981" s="1">
        <v>2000000</v>
      </c>
      <c r="AB1981" s="1" t="s">
        <v>1744</v>
      </c>
      <c r="AC1981" s="5">
        <v>44215</v>
      </c>
      <c r="AF1981" s="1">
        <v>10038</v>
      </c>
      <c r="AJ1981" s="1">
        <v>2013</v>
      </c>
    </row>
    <row r="1982" spans="1:38" x14ac:dyDescent="0.2">
      <c r="A1982" s="2" t="str">
        <f>HYPERLINK("https://www.compass.com/listing/115-nassau-street-unit-46b-manhattan-ny-10038/71395619050110577/","115 Nassau St, Unit 46B")</f>
        <v>115 Nassau St, Unit 46B</v>
      </c>
      <c r="B1982" s="2" t="str">
        <f t="shared" si="285"/>
        <v>115 Nassau Street</v>
      </c>
      <c r="C1982" s="1" t="s">
        <v>1453</v>
      </c>
      <c r="D1982" s="1" t="s">
        <v>41</v>
      </c>
      <c r="E1982" s="3">
        <v>3475000</v>
      </c>
      <c r="F1982" s="1">
        <v>2210.5597964376502</v>
      </c>
      <c r="M1982" s="4">
        <v>1572</v>
      </c>
      <c r="Q1982" s="1" t="s">
        <v>42</v>
      </c>
      <c r="S1982" s="1" t="s">
        <v>42</v>
      </c>
      <c r="T1982" s="1" t="s">
        <v>153</v>
      </c>
      <c r="AA1982" s="1">
        <v>3475000</v>
      </c>
      <c r="AB1982" s="1" t="s">
        <v>1745</v>
      </c>
      <c r="AC1982" s="5">
        <v>43342</v>
      </c>
      <c r="AF1982" s="1">
        <v>10038</v>
      </c>
      <c r="AJ1982" s="1">
        <v>2013</v>
      </c>
    </row>
    <row r="1983" spans="1:38" x14ac:dyDescent="0.2">
      <c r="A1983" s="2" t="str">
        <f>HYPERLINK("https://www.compass.com/listing/211-west-147th-street-unit-5a-manhattan-ny-10039/714274862657781281/","211 W 147th St, Unit 5A")</f>
        <v>211 W 147th St, Unit 5A</v>
      </c>
      <c r="B1983" s="2" t="str">
        <f>HYPERLINK("https://www.compass.com/building/211-w-147th-st-manhattan-ny-10039/282031233376991093/","211 W 147th St")</f>
        <v>211 W 147th St</v>
      </c>
      <c r="C1983" s="1" t="s">
        <v>141</v>
      </c>
      <c r="D1983" s="1" t="s">
        <v>41</v>
      </c>
      <c r="E1983" s="3">
        <v>133250</v>
      </c>
      <c r="Q1983" s="1" t="s">
        <v>117</v>
      </c>
      <c r="S1983" s="1" t="s">
        <v>117</v>
      </c>
      <c r="T1983" s="1" t="s">
        <v>153</v>
      </c>
      <c r="AA1983" s="1">
        <v>133250</v>
      </c>
      <c r="AB1983" s="1" t="s">
        <v>1746</v>
      </c>
      <c r="AC1983" s="5">
        <v>44224</v>
      </c>
      <c r="AF1983" s="1">
        <v>10039</v>
      </c>
      <c r="AJ1983" s="1">
        <v>1921</v>
      </c>
      <c r="AL1983" s="1">
        <v>15</v>
      </c>
    </row>
    <row r="1984" spans="1:38" x14ac:dyDescent="0.2">
      <c r="A1984" s="2" t="str">
        <f>HYPERLINK("https://www.compass.com/listing/441-convent-avenue-unit-1k-manhattan-ny-10031/734521451154516433/","441 Convent Ave, Unit 1K")</f>
        <v>441 Convent Ave, Unit 1K</v>
      </c>
      <c r="B1984" s="2" t="str">
        <f>HYPERLINK("https://www.compass.com/building/441-convent-ave-manhattan-ny-10031/281997455145425477/","441 Convent Ave")</f>
        <v>441 Convent Ave</v>
      </c>
      <c r="C1984" s="1" t="s">
        <v>82</v>
      </c>
      <c r="D1984" s="1" t="s">
        <v>41</v>
      </c>
      <c r="E1984" s="3">
        <v>160000</v>
      </c>
      <c r="F1984" s="1">
        <v>200.75282308657401</v>
      </c>
      <c r="M1984" s="1">
        <v>797</v>
      </c>
      <c r="Q1984" s="1" t="s">
        <v>42</v>
      </c>
      <c r="S1984" s="1" t="s">
        <v>42</v>
      </c>
      <c r="T1984" s="1" t="s">
        <v>153</v>
      </c>
      <c r="AA1984" s="1">
        <v>160000</v>
      </c>
      <c r="AB1984" s="1" t="s">
        <v>1747</v>
      </c>
      <c r="AC1984" s="5">
        <v>44155</v>
      </c>
      <c r="AF1984" s="1">
        <v>10031</v>
      </c>
      <c r="AJ1984" s="1">
        <v>1951</v>
      </c>
      <c r="AL1984" s="1">
        <v>90</v>
      </c>
    </row>
    <row r="1985" spans="1:38" x14ac:dyDescent="0.2">
      <c r="A1985" s="2" t="str">
        <f>HYPERLINK("https://www.compass.com/listing/211-west-147th-street-unit-3c-manhattan-ny-10039/734521578200075017/","211 W 147th St, Unit 3C")</f>
        <v>211 W 147th St, Unit 3C</v>
      </c>
      <c r="B1985" s="2" t="str">
        <f>HYPERLINK("https://www.compass.com/building/211-w-147th-st-manhattan-ny-10039/282031233376991093/","211 W 147th St")</f>
        <v>211 W 147th St</v>
      </c>
      <c r="C1985" s="1" t="s">
        <v>141</v>
      </c>
      <c r="D1985" s="1" t="s">
        <v>41</v>
      </c>
      <c r="E1985" s="3">
        <v>133250</v>
      </c>
      <c r="Q1985" s="1" t="s">
        <v>117</v>
      </c>
      <c r="S1985" s="1" t="s">
        <v>117</v>
      </c>
      <c r="T1985" s="1" t="s">
        <v>153</v>
      </c>
      <c r="AA1985" s="1">
        <v>133250</v>
      </c>
      <c r="AB1985" s="1" t="s">
        <v>1748</v>
      </c>
      <c r="AC1985" s="5">
        <v>44252</v>
      </c>
      <c r="AF1985" s="1">
        <v>10039</v>
      </c>
      <c r="AJ1985" s="1">
        <v>1921</v>
      </c>
      <c r="AL1985" s="1">
        <v>15</v>
      </c>
    </row>
    <row r="1986" spans="1:38" x14ac:dyDescent="0.2">
      <c r="A1986" s="2" t="str">
        <f>HYPERLINK("https://www.compass.com/listing/115-nassau-street-unit-42a-manhattan-ny-10038/736099499494250561/","115 Nassau St, Unit 42A")</f>
        <v>115 Nassau St, Unit 42A</v>
      </c>
      <c r="B1986" s="2" t="str">
        <f>HYPERLINK("https://www.compass.com/building/115-nassau-street-manhattan-ny/282058508331940421/","115 Nassau Street")</f>
        <v>115 Nassau Street</v>
      </c>
      <c r="C1986" s="1" t="s">
        <v>1453</v>
      </c>
      <c r="D1986" s="1" t="s">
        <v>41</v>
      </c>
      <c r="E1986" s="3">
        <v>2950000</v>
      </c>
      <c r="F1986" s="1">
        <v>1816.50246305418</v>
      </c>
      <c r="M1986" s="4">
        <v>1624</v>
      </c>
      <c r="Q1986" s="1" t="s">
        <v>42</v>
      </c>
      <c r="S1986" s="1" t="s">
        <v>42</v>
      </c>
      <c r="T1986" s="1" t="s">
        <v>153</v>
      </c>
      <c r="AA1986" s="1">
        <v>2950000</v>
      </c>
      <c r="AB1986" s="1" t="s">
        <v>1749</v>
      </c>
      <c r="AC1986" s="5">
        <v>44258</v>
      </c>
      <c r="AF1986" s="1">
        <v>10038</v>
      </c>
      <c r="AJ1986" s="1">
        <v>2013</v>
      </c>
    </row>
    <row r="1987" spans="1:38" x14ac:dyDescent="0.2">
      <c r="A1987" s="2" t="str">
        <f>HYPERLINK("https://www.compass.com/listing/543-west-122nd-street-unit-5c-manhattan-ny-10027/760726632929028529/","543 W 122nd St, Unit 5C")</f>
        <v>543 W 122nd St, Unit 5C</v>
      </c>
      <c r="B1987" s="2" t="str">
        <f>HYPERLINK("https://www.compass.com/building/vandewater-manhattan-ny/282058681657361477/","Vandewater")</f>
        <v>Vandewater</v>
      </c>
      <c r="C1987" s="1" t="s">
        <v>95</v>
      </c>
      <c r="D1987" s="1" t="s">
        <v>41</v>
      </c>
      <c r="E1987" s="3">
        <v>1785501</v>
      </c>
      <c r="F1987" s="1">
        <v>1436.4451971037799</v>
      </c>
      <c r="G1987" s="1">
        <v>4</v>
      </c>
      <c r="H1987" s="1">
        <v>2</v>
      </c>
      <c r="I1987" s="1">
        <v>3</v>
      </c>
      <c r="J1987" s="1">
        <v>2.5</v>
      </c>
      <c r="K1987" s="1">
        <v>2</v>
      </c>
      <c r="L1987" s="1">
        <v>1</v>
      </c>
      <c r="M1987" s="4">
        <v>1243</v>
      </c>
      <c r="N1987" s="1">
        <v>1236</v>
      </c>
      <c r="O1987" s="1">
        <v>2719</v>
      </c>
      <c r="P1987" s="1">
        <v>1483</v>
      </c>
      <c r="Q1987" s="1" t="s">
        <v>42</v>
      </c>
      <c r="S1987" s="1" t="s">
        <v>42</v>
      </c>
      <c r="T1987" s="1" t="s">
        <v>153</v>
      </c>
      <c r="V1987" s="5">
        <v>44301</v>
      </c>
      <c r="AA1987" s="1">
        <v>1785501.38</v>
      </c>
      <c r="AB1987" s="1" t="s">
        <v>1750</v>
      </c>
      <c r="AC1987" s="5">
        <v>44298</v>
      </c>
      <c r="AF1987" s="1">
        <v>10027</v>
      </c>
      <c r="AI1987" s="1" t="s">
        <v>96</v>
      </c>
      <c r="AJ1987" s="1">
        <v>2019</v>
      </c>
      <c r="AK1987" s="1" t="s">
        <v>46</v>
      </c>
      <c r="AL1987" s="1">
        <v>183</v>
      </c>
    </row>
    <row r="1988" spans="1:38" x14ac:dyDescent="0.2">
      <c r="A1988" s="2" t="str">
        <f>HYPERLINK("https://www.compass.com/listing/21-east-61st-street-unit-s43-manhattan-ny-10065/774347775398961305/","21 E 61st St, Unit S43")</f>
        <v>21 E 61st St, Unit S43</v>
      </c>
      <c r="B1988" s="2" t="str">
        <f>HYPERLINK("https://www.compass.com/building/the-carlton-house-manhattan-ny/292926373863910149/","The Carlton House")</f>
        <v>The Carlton House</v>
      </c>
      <c r="C1988" s="1" t="s">
        <v>98</v>
      </c>
      <c r="D1988" s="1" t="s">
        <v>41</v>
      </c>
      <c r="E1988" s="3">
        <v>25000</v>
      </c>
      <c r="Q1988" s="1" t="s">
        <v>117</v>
      </c>
      <c r="S1988" s="1" t="s">
        <v>117</v>
      </c>
      <c r="T1988" s="1" t="s">
        <v>153</v>
      </c>
      <c r="AA1988" s="1">
        <v>25000</v>
      </c>
      <c r="AB1988" s="1" t="s">
        <v>1751</v>
      </c>
      <c r="AC1988" s="5">
        <v>44267</v>
      </c>
      <c r="AF1988" s="1">
        <v>10065</v>
      </c>
      <c r="AJ1988" s="1">
        <v>1951</v>
      </c>
      <c r="AK1988" s="1" t="s">
        <v>99</v>
      </c>
      <c r="AL1988" s="1">
        <v>68</v>
      </c>
    </row>
    <row r="1989" spans="1:38" x14ac:dyDescent="0.2">
      <c r="A1989" s="2" t="str">
        <f>HYPERLINK("https://www.compass.com/listing/27-east-79th-street-manhattan-ny-10075/775091891630637657/","27 E 79th St")</f>
        <v>27 E 79th St</v>
      </c>
      <c r="B1989" s="2" t="str">
        <f>HYPERLINK("https://www.compass.com/building/27-e-79th-st-manhattan-ny-10075/282057858843965749/","27 E 79th St")</f>
        <v>27 E 79th St</v>
      </c>
      <c r="C1989" s="1" t="s">
        <v>98</v>
      </c>
      <c r="D1989" s="1" t="s">
        <v>41</v>
      </c>
      <c r="E1989" s="3">
        <v>16804681</v>
      </c>
      <c r="Q1989" s="1" t="s">
        <v>42</v>
      </c>
      <c r="S1989" s="1" t="s">
        <v>42</v>
      </c>
      <c r="T1989" s="1" t="s">
        <v>153</v>
      </c>
      <c r="AA1989" s="1">
        <v>16804681.25</v>
      </c>
      <c r="AB1989" s="1" t="s">
        <v>1752</v>
      </c>
      <c r="AC1989" s="5">
        <v>44294</v>
      </c>
      <c r="AF1989" s="1">
        <v>10075</v>
      </c>
      <c r="AJ1989" s="1">
        <v>2019</v>
      </c>
      <c r="AK1989" s="1" t="s">
        <v>49</v>
      </c>
      <c r="AL1989" s="1">
        <v>8</v>
      </c>
    </row>
    <row r="1990" spans="1:38" x14ac:dyDescent="0.2">
      <c r="A1990" s="2" t="str">
        <f>HYPERLINK("https://www.compass.com/listing/155-west-126th-street-unit-garb-manhattan-ny-10027/780142284699994065/","155 W 126th St, Unit GARB")</f>
        <v>155 W 126th St, Unit GARB</v>
      </c>
      <c r="B1990" s="2" t="str">
        <f>HYPERLINK("https://www.compass.com/building/155-w-126th-st-manhattan-ny-10027/281979223730651925/","155 W 126th St")</f>
        <v>155 W 126th St</v>
      </c>
      <c r="C1990" s="1" t="s">
        <v>141</v>
      </c>
      <c r="D1990" s="1" t="s">
        <v>41</v>
      </c>
      <c r="E1990" s="3">
        <v>1150000</v>
      </c>
      <c r="F1990" s="1">
        <v>809.85915492957702</v>
      </c>
      <c r="M1990" s="4">
        <v>1420</v>
      </c>
      <c r="Q1990" s="1" t="s">
        <v>42</v>
      </c>
      <c r="S1990" s="1" t="s">
        <v>42</v>
      </c>
      <c r="T1990" s="1" t="s">
        <v>153</v>
      </c>
      <c r="AA1990" s="1">
        <v>1150000</v>
      </c>
      <c r="AB1990" s="1" t="s">
        <v>1753</v>
      </c>
      <c r="AC1990" s="5">
        <v>44312</v>
      </c>
      <c r="AF1990" s="1">
        <v>10027</v>
      </c>
      <c r="AI1990" s="1" t="s">
        <v>107</v>
      </c>
      <c r="AJ1990" s="1">
        <v>1910</v>
      </c>
      <c r="AL1990" s="1">
        <v>10</v>
      </c>
    </row>
    <row r="1991" spans="1:38" x14ac:dyDescent="0.2">
      <c r="A1991" s="2" t="str">
        <f>HYPERLINK("https://www.compass.com/listing/69-bennett-avenue-unit-505-manhattan-ny-10033/781597813046537937/","69 Bennett Ave, Unit 505")</f>
        <v>69 Bennett Ave, Unit 505</v>
      </c>
      <c r="B1991" s="2" t="str">
        <f>HYPERLINK("https://www.compass.com/building/69-bennett-ave-manhattan-ny-10033/282013522349526869/","69 Bennett Ave")</f>
        <v>69 Bennett Ave</v>
      </c>
      <c r="C1991" s="1" t="s">
        <v>122</v>
      </c>
      <c r="D1991" s="1" t="s">
        <v>41</v>
      </c>
      <c r="E1991" s="3">
        <v>400000</v>
      </c>
      <c r="F1991" s="1">
        <v>530.50397877984005</v>
      </c>
      <c r="M1991" s="1">
        <v>754</v>
      </c>
      <c r="Q1991" s="1" t="s">
        <v>42</v>
      </c>
      <c r="S1991" s="1" t="s">
        <v>42</v>
      </c>
      <c r="T1991" s="1" t="s">
        <v>153</v>
      </c>
      <c r="AA1991" s="1">
        <v>400000</v>
      </c>
      <c r="AB1991" s="1" t="s">
        <v>1754</v>
      </c>
      <c r="AC1991" s="5">
        <v>44315</v>
      </c>
      <c r="AF1991" s="1">
        <v>10033</v>
      </c>
      <c r="AJ1991" s="1">
        <v>1954</v>
      </c>
      <c r="AL1991" s="1">
        <v>60</v>
      </c>
    </row>
    <row r="1992" spans="1:38" x14ac:dyDescent="0.2">
      <c r="A1992" s="2" t="str">
        <f>HYPERLINK("https://www.compass.com/listing/176-east-82nd-street-unit-801-manhattan-ny-10028/801184571440816145/","176 E 82nd St, Unit 801")</f>
        <v>176 E 82nd St, Unit 801</v>
      </c>
      <c r="B1992" s="2" t="str">
        <f>HYPERLINK("https://www.compass.com/building/etage-manhattan-ny/292891484586356869/","Etage")</f>
        <v>Etage</v>
      </c>
      <c r="C1992" s="1" t="s">
        <v>98</v>
      </c>
      <c r="D1992" s="1" t="s">
        <v>41</v>
      </c>
      <c r="E1992" s="3">
        <v>4550000</v>
      </c>
      <c r="Q1992" s="1" t="s">
        <v>42</v>
      </c>
      <c r="S1992" s="1" t="s">
        <v>42</v>
      </c>
      <c r="T1992" s="1" t="s">
        <v>153</v>
      </c>
      <c r="AA1992" s="1">
        <v>4550000</v>
      </c>
      <c r="AB1992" s="1" t="s">
        <v>1755</v>
      </c>
      <c r="AC1992" s="5">
        <v>44253</v>
      </c>
      <c r="AF1992" s="1">
        <v>10028</v>
      </c>
      <c r="AI1992" s="1" t="s">
        <v>51</v>
      </c>
      <c r="AJ1992" s="1">
        <v>2018</v>
      </c>
      <c r="AK1992" s="1" t="s">
        <v>99</v>
      </c>
      <c r="AL1992" s="1">
        <v>9</v>
      </c>
    </row>
    <row r="1993" spans="1:38" x14ac:dyDescent="0.2">
      <c r="A1993" s="2" t="str">
        <f>HYPERLINK("https://www.compass.com/listing/450-west-42nd-street-unit-ph3f-manhattan-ny-10036/806978350909272329/","450 W 42nd St, Unit PH3F")</f>
        <v>450 W 42nd St, Unit PH3F</v>
      </c>
      <c r="B1993" s="2" t="str">
        <f>HYPERLINK("https://www.compass.com/building/mima-manhattan-ny/282025546404079525/","MiMA")</f>
        <v>MiMA</v>
      </c>
      <c r="C1993" s="1" t="s">
        <v>67</v>
      </c>
      <c r="D1993" s="1" t="s">
        <v>41</v>
      </c>
      <c r="E1993" s="3">
        <v>2668000</v>
      </c>
      <c r="F1993" s="1">
        <v>2615.6862745098001</v>
      </c>
      <c r="M1993" s="4">
        <v>1020</v>
      </c>
      <c r="Q1993" s="1" t="s">
        <v>42</v>
      </c>
      <c r="S1993" s="1" t="s">
        <v>42</v>
      </c>
      <c r="T1993" s="1" t="s">
        <v>153</v>
      </c>
      <c r="AA1993" s="1">
        <v>2668000</v>
      </c>
      <c r="AB1993" s="1" t="s">
        <v>1756</v>
      </c>
      <c r="AC1993" s="5">
        <v>44344</v>
      </c>
      <c r="AF1993" s="1">
        <v>10036</v>
      </c>
      <c r="AI1993" s="1" t="s">
        <v>1450</v>
      </c>
      <c r="AJ1993" s="1">
        <v>2012</v>
      </c>
      <c r="AK1993" s="1" t="s">
        <v>49</v>
      </c>
      <c r="AL1993" s="1">
        <v>943</v>
      </c>
    </row>
    <row r="1994" spans="1:38" x14ac:dyDescent="0.2">
      <c r="A1994" s="2" t="str">
        <f>HYPERLINK("https://www.compass.com/listing/115-nassau-street-unit-41a-manhattan-ny-10038/80802132915194145/","115 Nassau St, Unit 41A")</f>
        <v>115 Nassau St, Unit 41A</v>
      </c>
      <c r="B1994" s="2" t="str">
        <f>HYPERLINK("https://www.compass.com/building/115-nassau-street-manhattan-ny/282058508331940421/","115 Nassau Street")</f>
        <v>115 Nassau Street</v>
      </c>
      <c r="C1994" s="1" t="s">
        <v>1453</v>
      </c>
      <c r="D1994" s="1" t="s">
        <v>41</v>
      </c>
      <c r="E1994" s="3">
        <v>2900000</v>
      </c>
      <c r="F1994" s="1">
        <v>1785.7142857142801</v>
      </c>
      <c r="M1994" s="4">
        <v>1624</v>
      </c>
      <c r="Q1994" s="1" t="s">
        <v>42</v>
      </c>
      <c r="S1994" s="1" t="s">
        <v>42</v>
      </c>
      <c r="T1994" s="1" t="s">
        <v>153</v>
      </c>
      <c r="AA1994" s="1">
        <v>2900000</v>
      </c>
      <c r="AB1994" s="1" t="s">
        <v>1757</v>
      </c>
      <c r="AC1994" s="5">
        <v>43333</v>
      </c>
      <c r="AF1994" s="1">
        <v>10038</v>
      </c>
      <c r="AJ1994" s="1">
        <v>2013</v>
      </c>
    </row>
    <row r="1995" spans="1:38" x14ac:dyDescent="0.2">
      <c r="A1995" s="2" t="str">
        <f>HYPERLINK("https://www.compass.com/listing/52-convent-avenue-unit-5b-c-manhattan-ny-10027/821452493944530089/","52 Convent Ave, Unit 5B/C")</f>
        <v>52 Convent Ave, Unit 5B/C</v>
      </c>
      <c r="B1995" s="2" t="str">
        <f>HYPERLINK("https://www.compass.com/building/52-convent-avenue-manhattan-ny/292889753865529749/","52 Convent Avenue ")</f>
        <v xml:space="preserve">52 Convent Avenue </v>
      </c>
      <c r="C1995" s="1" t="s">
        <v>126</v>
      </c>
      <c r="D1995" s="1" t="s">
        <v>41</v>
      </c>
      <c r="E1995" s="3">
        <v>1275000</v>
      </c>
      <c r="F1995" s="1">
        <v>1021.63461538461</v>
      </c>
      <c r="M1995" s="4">
        <v>1248</v>
      </c>
      <c r="Q1995" s="1" t="s">
        <v>42</v>
      </c>
      <c r="S1995" s="1" t="s">
        <v>42</v>
      </c>
      <c r="T1995" s="1" t="s">
        <v>153</v>
      </c>
      <c r="AA1995" s="1">
        <v>1275000</v>
      </c>
      <c r="AB1995" s="1" t="s">
        <v>1758</v>
      </c>
      <c r="AC1995" s="5">
        <v>44364</v>
      </c>
      <c r="AF1995" s="1">
        <v>10027</v>
      </c>
      <c r="AI1995" s="1" t="s">
        <v>96</v>
      </c>
      <c r="AJ1995" s="1">
        <v>2018</v>
      </c>
      <c r="AK1995" s="1" t="s">
        <v>99</v>
      </c>
      <c r="AL1995" s="1">
        <v>17</v>
      </c>
    </row>
    <row r="1996" spans="1:38" x14ac:dyDescent="0.2">
      <c r="A1996" s="2" t="str">
        <f>HYPERLINK("https://www.compass.com/listing/372-broadway-unit-pha-manhattan-ny-10013/825076929907298505/","372 Broadway, Unit PHA")</f>
        <v>372 Broadway, Unit PHA</v>
      </c>
      <c r="B1996" s="2" t="str">
        <f>HYPERLINK("https://www.compass.com/building/372-broadway-manhattan-ny-10013/281919283645154805/","372 Broadway")</f>
        <v>372 Broadway</v>
      </c>
      <c r="C1996" s="1" t="s">
        <v>77</v>
      </c>
      <c r="D1996" s="1" t="s">
        <v>41</v>
      </c>
      <c r="E1996" s="3">
        <v>6425000</v>
      </c>
      <c r="F1996" s="1">
        <v>2323.6889692585801</v>
      </c>
      <c r="M1996" s="4">
        <v>2765</v>
      </c>
      <c r="Q1996" s="1" t="s">
        <v>42</v>
      </c>
      <c r="S1996" s="1" t="s">
        <v>42</v>
      </c>
      <c r="T1996" s="1" t="s">
        <v>153</v>
      </c>
      <c r="AA1996" s="1">
        <v>6425000</v>
      </c>
      <c r="AB1996" s="1" t="s">
        <v>1759</v>
      </c>
      <c r="AC1996" s="5">
        <v>44287</v>
      </c>
      <c r="AF1996" s="1">
        <v>10013</v>
      </c>
      <c r="AJ1996" s="1">
        <v>1915</v>
      </c>
      <c r="AL1996" s="1">
        <v>6</v>
      </c>
    </row>
    <row r="1997" spans="1:38" x14ac:dyDescent="0.2">
      <c r="A1997" s="2" t="str">
        <f>HYPERLINK("https://www.compass.com/listing/180-6th-avenue-unit-b8-manhattan-ny-10013/826836432641833217/","180 6th Ave, Unit B8")</f>
        <v>180 6th Ave, Unit B8</v>
      </c>
      <c r="B1997" s="2" t="str">
        <f t="shared" ref="B1997:B1998" si="286">HYPERLINK("https://www.compass.com/building/one-vandam-manhattan-ny/307436879024291493/","One Vandam")</f>
        <v>One Vandam</v>
      </c>
      <c r="C1997" s="1" t="s">
        <v>50</v>
      </c>
      <c r="D1997" s="1" t="s">
        <v>41</v>
      </c>
      <c r="E1997" s="3">
        <v>5850000</v>
      </c>
      <c r="F1997" s="1">
        <v>2633.9486717694699</v>
      </c>
      <c r="G1997" s="1">
        <v>5</v>
      </c>
      <c r="H1997" s="1">
        <v>3</v>
      </c>
      <c r="I1997" s="1">
        <v>4</v>
      </c>
      <c r="J1997" s="1">
        <v>0.5</v>
      </c>
      <c r="L1997" s="1">
        <v>1</v>
      </c>
      <c r="M1997" s="4">
        <v>2221</v>
      </c>
      <c r="N1997" s="1">
        <v>3088</v>
      </c>
      <c r="O1997" s="1">
        <v>5964</v>
      </c>
      <c r="P1997" s="1">
        <v>2876</v>
      </c>
      <c r="Q1997" s="1" t="s">
        <v>42</v>
      </c>
      <c r="S1997" s="1" t="s">
        <v>42</v>
      </c>
      <c r="T1997" s="1" t="s">
        <v>153</v>
      </c>
      <c r="V1997" s="5">
        <v>43270</v>
      </c>
      <c r="W1997" s="5">
        <v>42347</v>
      </c>
      <c r="X1997" s="1">
        <v>6200000</v>
      </c>
      <c r="AB1997" s="1" t="s">
        <v>177</v>
      </c>
      <c r="AF1997" s="1">
        <v>10013</v>
      </c>
      <c r="AI1997" s="1" t="s">
        <v>710</v>
      </c>
      <c r="AJ1997" s="1">
        <v>2014</v>
      </c>
      <c r="AK1997" s="1" t="s">
        <v>46</v>
      </c>
      <c r="AL1997" s="1">
        <v>25</v>
      </c>
    </row>
    <row r="1998" spans="1:38" x14ac:dyDescent="0.2">
      <c r="A1998" s="2" t="str">
        <f>HYPERLINK("https://www.compass.com/listing/180-6th-avenue-unit-a7-manhattan-ny-10013/826841111949631841/","180 6th Ave, Unit A7")</f>
        <v>180 6th Ave, Unit A7</v>
      </c>
      <c r="B1998" s="2" t="str">
        <f t="shared" si="286"/>
        <v>One Vandam</v>
      </c>
      <c r="C1998" s="1" t="s">
        <v>50</v>
      </c>
      <c r="D1998" s="1" t="s">
        <v>41</v>
      </c>
      <c r="E1998" s="3">
        <v>6000000</v>
      </c>
      <c r="F1998" s="1">
        <v>2653.69305616983</v>
      </c>
      <c r="G1998" s="1">
        <v>6</v>
      </c>
      <c r="H1998" s="1">
        <v>4</v>
      </c>
      <c r="I1998" s="1">
        <v>4</v>
      </c>
      <c r="J1998" s="1">
        <v>0.5</v>
      </c>
      <c r="L1998" s="1">
        <v>1</v>
      </c>
      <c r="M1998" s="4">
        <v>2261</v>
      </c>
      <c r="N1998" s="1">
        <v>3147</v>
      </c>
      <c r="O1998" s="1">
        <v>6103</v>
      </c>
      <c r="P1998" s="1">
        <v>2956</v>
      </c>
      <c r="Q1998" s="1" t="s">
        <v>42</v>
      </c>
      <c r="S1998" s="1" t="s">
        <v>42</v>
      </c>
      <c r="T1998" s="1" t="s">
        <v>153</v>
      </c>
      <c r="V1998" s="5">
        <v>43270</v>
      </c>
      <c r="W1998" s="5">
        <v>42347</v>
      </c>
      <c r="X1998" s="1">
        <v>6350000</v>
      </c>
      <c r="AB1998" s="1" t="s">
        <v>177</v>
      </c>
      <c r="AF1998" s="1">
        <v>10013</v>
      </c>
      <c r="AI1998" s="1" t="s">
        <v>85</v>
      </c>
      <c r="AJ1998" s="1">
        <v>2014</v>
      </c>
      <c r="AK1998" s="1" t="s">
        <v>46</v>
      </c>
      <c r="AL1998" s="1">
        <v>25</v>
      </c>
    </row>
    <row r="1999" spans="1:38" x14ac:dyDescent="0.2">
      <c r="A1999" s="2" t="str">
        <f>HYPERLINK("https://www.compass.com/listing/21-east-61st-street-unit-s14-manhattan-ny-10065/831818254077556785/","21 E 61st St, Unit S14")</f>
        <v>21 E 61st St, Unit S14</v>
      </c>
      <c r="B1999" s="2" t="str">
        <f>HYPERLINK("https://www.compass.com/building/the-carlton-house-manhattan-ny/292926373863910149/","The Carlton House")</f>
        <v>The Carlton House</v>
      </c>
      <c r="C1999" s="1" t="s">
        <v>98</v>
      </c>
      <c r="D1999" s="1" t="s">
        <v>41</v>
      </c>
      <c r="E1999" s="3">
        <v>14062500</v>
      </c>
      <c r="Q1999" s="1" t="s">
        <v>117</v>
      </c>
      <c r="S1999" s="1" t="s">
        <v>117</v>
      </c>
      <c r="T1999" s="1" t="s">
        <v>153</v>
      </c>
      <c r="AA1999" s="1">
        <v>14062500</v>
      </c>
      <c r="AB1999" s="1" t="s">
        <v>1760</v>
      </c>
      <c r="AC1999" s="5">
        <v>44385</v>
      </c>
      <c r="AF1999" s="1">
        <v>10065</v>
      </c>
      <c r="AJ1999" s="1">
        <v>1951</v>
      </c>
      <c r="AK1999" s="1" t="s">
        <v>99</v>
      </c>
      <c r="AL1999" s="1">
        <v>68</v>
      </c>
    </row>
    <row r="2000" spans="1:38" x14ac:dyDescent="0.2">
      <c r="A2000" s="2" t="str">
        <f>HYPERLINK("https://www.compass.com/listing/1325-5th-avenue-unit-3b-manhattan-ny-10029/831819109573250001/","1325 5th Ave, Unit 3B")</f>
        <v>1325 5th Ave, Unit 3B</v>
      </c>
      <c r="B2000" s="2" t="str">
        <f>HYPERLINK("https://www.compass.com/building/the-fifth-avenue-manhattan-ny/294843719022876805/","The Fifth Avenue")</f>
        <v>The Fifth Avenue</v>
      </c>
      <c r="C2000" s="1" t="s">
        <v>60</v>
      </c>
      <c r="D2000" s="1" t="s">
        <v>41</v>
      </c>
      <c r="E2000" s="3">
        <v>916425</v>
      </c>
      <c r="F2000" s="1">
        <v>830.09510869565202</v>
      </c>
      <c r="M2000" s="4">
        <v>1104</v>
      </c>
      <c r="Q2000" s="1" t="s">
        <v>42</v>
      </c>
      <c r="S2000" s="1" t="s">
        <v>42</v>
      </c>
      <c r="T2000" s="1" t="s">
        <v>153</v>
      </c>
      <c r="AA2000" s="1">
        <v>916425</v>
      </c>
      <c r="AB2000" s="1" t="s">
        <v>1761</v>
      </c>
      <c r="AC2000" s="5">
        <v>44386</v>
      </c>
      <c r="AF2000" s="1">
        <v>10029</v>
      </c>
      <c r="AI2000" s="1" t="s">
        <v>55</v>
      </c>
      <c r="AJ2000" s="1">
        <v>1989</v>
      </c>
      <c r="AK2000" s="1" t="s">
        <v>49</v>
      </c>
      <c r="AL2000" s="1">
        <v>71</v>
      </c>
    </row>
    <row r="2001" spans="1:36" x14ac:dyDescent="0.2">
      <c r="A2001" s="2" t="str">
        <f>HYPERLINK("https://www.compass.com/listing/115-nassau-street-unit-24b-manhattan-ny-10038/835223538288958377/","115 Nassau St, Unit 24B")</f>
        <v>115 Nassau St, Unit 24B</v>
      </c>
      <c r="B2001" s="2" t="str">
        <f t="shared" ref="B2001:B2003" si="287">HYPERLINK("https://www.compass.com/building/115-nassau-street-manhattan-ny/282058508331940421/","115 Nassau Street")</f>
        <v>115 Nassau Street</v>
      </c>
      <c r="C2001" s="1" t="s">
        <v>1453</v>
      </c>
      <c r="D2001" s="1" t="s">
        <v>41</v>
      </c>
      <c r="E2001" s="3">
        <v>1300000</v>
      </c>
      <c r="F2001" s="1">
        <v>1520.46783625731</v>
      </c>
      <c r="M2001" s="1">
        <v>855</v>
      </c>
      <c r="Q2001" s="1" t="s">
        <v>42</v>
      </c>
      <c r="S2001" s="1" t="s">
        <v>42</v>
      </c>
      <c r="T2001" s="1" t="s">
        <v>153</v>
      </c>
      <c r="AA2001" s="1">
        <v>1300000</v>
      </c>
      <c r="AB2001" s="1" t="s">
        <v>1762</v>
      </c>
      <c r="AC2001" s="5">
        <v>44386</v>
      </c>
      <c r="AF2001" s="1">
        <v>10038</v>
      </c>
      <c r="AJ2001" s="1">
        <v>2013</v>
      </c>
    </row>
    <row r="2002" spans="1:36" x14ac:dyDescent="0.2">
      <c r="A2002" s="2" t="str">
        <f>HYPERLINK("https://www.compass.com/listing/115-nassau-street-unit-48a-manhattan-ny-10038/90949979929099505/","115 Nassau St, Unit 48A")</f>
        <v>115 Nassau St, Unit 48A</v>
      </c>
      <c r="B2002" s="2" t="str">
        <f t="shared" si="287"/>
        <v>115 Nassau Street</v>
      </c>
      <c r="C2002" s="1" t="s">
        <v>1453</v>
      </c>
      <c r="D2002" s="1" t="s">
        <v>41</v>
      </c>
      <c r="E2002" s="3">
        <v>3750000</v>
      </c>
      <c r="F2002" s="1">
        <v>2309.1133004926101</v>
      </c>
      <c r="M2002" s="4">
        <v>1624</v>
      </c>
      <c r="Q2002" s="1" t="s">
        <v>42</v>
      </c>
      <c r="S2002" s="1" t="s">
        <v>42</v>
      </c>
      <c r="T2002" s="1" t="s">
        <v>153</v>
      </c>
      <c r="AA2002" s="1">
        <v>3750000</v>
      </c>
      <c r="AB2002" s="1" t="s">
        <v>1763</v>
      </c>
      <c r="AC2002" s="5">
        <v>43371</v>
      </c>
      <c r="AF2002" s="1">
        <v>10038</v>
      </c>
      <c r="AJ2002" s="1">
        <v>2013</v>
      </c>
    </row>
    <row r="2003" spans="1:36" x14ac:dyDescent="0.2">
      <c r="A2003" s="2" t="str">
        <f>HYPERLINK("https://www.compass.com/listing/115-nassau-street-unit-31a-manhattan-ny-10038/92399988142846817/","115 Nassau St, Unit 31A")</f>
        <v>115 Nassau St, Unit 31A</v>
      </c>
      <c r="B2003" s="2" t="str">
        <f t="shared" si="287"/>
        <v>115 Nassau Street</v>
      </c>
      <c r="C2003" s="1" t="s">
        <v>1453</v>
      </c>
      <c r="D2003" s="1" t="s">
        <v>41</v>
      </c>
      <c r="E2003" s="3">
        <v>2375000</v>
      </c>
      <c r="F2003" s="1">
        <v>1702.5089605734699</v>
      </c>
      <c r="M2003" s="4">
        <v>1395</v>
      </c>
      <c r="Q2003" s="1" t="s">
        <v>42</v>
      </c>
      <c r="S2003" s="1" t="s">
        <v>42</v>
      </c>
      <c r="T2003" s="1" t="s">
        <v>153</v>
      </c>
      <c r="AA2003" s="1">
        <v>2375000</v>
      </c>
      <c r="AB2003" s="1" t="s">
        <v>1764</v>
      </c>
      <c r="AC2003" s="5">
        <v>43356</v>
      </c>
      <c r="AF2003" s="1">
        <v>10038</v>
      </c>
      <c r="AJ2003" s="1">
        <v>2013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generated at 0722pm 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</cp:lastModifiedBy>
  <dcterms:modified xsi:type="dcterms:W3CDTF">2021-08-19T11:50:09Z</dcterms:modified>
</cp:coreProperties>
</file>